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41-ОРУ\@ЗАКУПКИ\0. 2020\ГЕНПОДРЯДЫ\Г0010_ГНЦ ФГУП Центр Келдыша\35-4_2077 СМР систем связи и сигнализации ЕП AST\РАБОЧАЯ ИТОГ\Проект договора и приложения\"/>
    </mc:Choice>
  </mc:AlternateContent>
  <bookViews>
    <workbookView xWindow="-120" yWindow="-120" windowWidth="20730" windowHeight="11160" tabRatio="897" firstSheet="5" activeTab="5"/>
  </bookViews>
  <sheets>
    <sheet name="Лист1" sheetId="1" r:id="rId1"/>
    <sheet name="Корректировка (20.07.15) (наш)" sheetId="6" state="hidden" r:id="rId2"/>
    <sheet name="Корректировка (21.07.15) (наш)" sheetId="7" state="hidden" r:id="rId3"/>
    <sheet name="Корректировка (21.07.15) (с эл." sheetId="8" state="hidden" r:id="rId4"/>
    <sheet name="Корректировка (28.07.15)" sheetId="10" state="hidden" r:id="rId5"/>
    <sheet name="1 вариант (раскрытый)" sheetId="12" r:id="rId6"/>
  </sheets>
  <definedNames>
    <definedName name="_xlnm.Print_Area" localSheetId="5">'1 вариант (раскрытый)'!$A$1:$F$67</definedName>
    <definedName name="_xlnm.Print_Area" localSheetId="1">'Корректировка (20.07.15) (наш)'!$A$1:$F$121</definedName>
    <definedName name="_xlnm.Print_Area" localSheetId="2">'Корректировка (21.07.15) (наш)'!$A$1:$F$121</definedName>
    <definedName name="_xlnm.Print_Area" localSheetId="3">'Корректировка (21.07.15) (с эл.'!$A$1:$F$121</definedName>
    <definedName name="_xlnm.Print_Area" localSheetId="4">'Корректировка (28.07.15)'!$A$1:$F$120</definedName>
  </definedNames>
  <calcPr calcId="152511" refMode="R1C1"/>
</workbook>
</file>

<file path=xl/calcChain.xml><?xml version="1.0" encoding="utf-8"?>
<calcChain xmlns="http://schemas.openxmlformats.org/spreadsheetml/2006/main">
  <c r="H87" i="10" l="1"/>
  <c r="E87" i="10" s="1"/>
  <c r="E66" i="10"/>
  <c r="E68" i="10"/>
  <c r="E69" i="10"/>
  <c r="E70" i="10"/>
  <c r="E71" i="10"/>
  <c r="E73" i="10"/>
  <c r="E75" i="10"/>
  <c r="E77" i="10"/>
  <c r="E78" i="10"/>
  <c r="E81" i="10"/>
  <c r="E82" i="10"/>
  <c r="E88" i="10"/>
  <c r="E89" i="10"/>
  <c r="H74" i="10"/>
  <c r="E74" i="10" s="1"/>
  <c r="H76" i="10"/>
  <c r="E76" i="10" s="1"/>
  <c r="H72" i="10"/>
  <c r="E72" i="10" s="1"/>
  <c r="H64" i="10"/>
  <c r="E64" i="10" s="1"/>
  <c r="H67" i="10"/>
  <c r="E67" i="10" s="1"/>
  <c r="H63" i="10"/>
  <c r="H80" i="10"/>
  <c r="E80" i="10" s="1"/>
  <c r="H65" i="10"/>
  <c r="E65" i="10" s="1"/>
  <c r="H85" i="10"/>
  <c r="E85" i="10" s="1"/>
  <c r="H84" i="10"/>
  <c r="E84" i="10" s="1"/>
  <c r="H91" i="10"/>
  <c r="E91" i="10" s="1"/>
  <c r="G92" i="10"/>
  <c r="E58" i="10"/>
  <c r="E53" i="10"/>
  <c r="H51" i="10"/>
  <c r="E49" i="10"/>
  <c r="E44" i="10"/>
  <c r="E42" i="10"/>
  <c r="E41" i="10"/>
  <c r="E40" i="10"/>
  <c r="E39" i="10"/>
  <c r="E38" i="10"/>
  <c r="E37" i="10"/>
  <c r="E36" i="10"/>
  <c r="E35" i="10"/>
  <c r="E34" i="10"/>
  <c r="E33" i="10"/>
  <c r="E31" i="10"/>
  <c r="E30" i="10"/>
  <c r="E29" i="10"/>
  <c r="E28" i="10"/>
  <c r="E27" i="10"/>
  <c r="E26" i="10"/>
  <c r="E19" i="10"/>
  <c r="E16" i="10"/>
  <c r="E59" i="10" l="1"/>
  <c r="E47" i="10"/>
  <c r="H49" i="10" s="1"/>
  <c r="E92" i="10"/>
  <c r="G93" i="10" s="1"/>
  <c r="E74" i="8"/>
  <c r="G93" i="8"/>
  <c r="E92" i="8"/>
  <c r="E88" i="8"/>
  <c r="E86" i="8"/>
  <c r="E81" i="8"/>
  <c r="E77" i="8"/>
  <c r="E75" i="8"/>
  <c r="E73" i="8"/>
  <c r="E68" i="8"/>
  <c r="E66" i="8"/>
  <c r="E65" i="8"/>
  <c r="E63" i="8"/>
  <c r="E58" i="8"/>
  <c r="E53" i="8"/>
  <c r="H51" i="8"/>
  <c r="E49" i="8"/>
  <c r="E44" i="8"/>
  <c r="E42" i="8"/>
  <c r="E41" i="8"/>
  <c r="E40" i="8"/>
  <c r="E39" i="8"/>
  <c r="E38" i="8"/>
  <c r="E37" i="8"/>
  <c r="E36" i="8"/>
  <c r="E35" i="8"/>
  <c r="E34" i="8"/>
  <c r="E33" i="8"/>
  <c r="E31" i="8"/>
  <c r="E30" i="8"/>
  <c r="E29" i="8"/>
  <c r="E28" i="8"/>
  <c r="E27" i="8"/>
  <c r="E26" i="8"/>
  <c r="E19" i="8"/>
  <c r="E16" i="8"/>
  <c r="E88" i="7"/>
  <c r="G93" i="7"/>
  <c r="E92" i="7"/>
  <c r="E86" i="7"/>
  <c r="E81" i="7"/>
  <c r="E77" i="7"/>
  <c r="E75" i="7"/>
  <c r="E73" i="7"/>
  <c r="E68" i="7"/>
  <c r="E66" i="7"/>
  <c r="E65" i="7"/>
  <c r="E63" i="7"/>
  <c r="E58" i="7"/>
  <c r="E53" i="7"/>
  <c r="H51" i="7"/>
  <c r="E49" i="7"/>
  <c r="E44" i="7"/>
  <c r="E42" i="7"/>
  <c r="E41" i="7"/>
  <c r="E40" i="7"/>
  <c r="E39" i="7"/>
  <c r="E38" i="7"/>
  <c r="E37" i="7"/>
  <c r="E36" i="7"/>
  <c r="E35" i="7"/>
  <c r="E34" i="7"/>
  <c r="E33" i="7"/>
  <c r="E31" i="7"/>
  <c r="E30" i="7"/>
  <c r="E29" i="7"/>
  <c r="E28" i="7"/>
  <c r="E27" i="7"/>
  <c r="E26" i="7"/>
  <c r="E19" i="7"/>
  <c r="E16" i="7"/>
  <c r="E59" i="8" l="1"/>
  <c r="E47" i="7"/>
  <c r="H49" i="7" s="1"/>
  <c r="E59" i="7"/>
  <c r="E47" i="8"/>
  <c r="E93" i="8"/>
  <c r="E60" i="10"/>
  <c r="E94" i="10" s="1"/>
  <c r="E96" i="10" s="1"/>
  <c r="E97" i="10" s="1"/>
  <c r="H59" i="10"/>
  <c r="E93" i="7"/>
  <c r="E88" i="6"/>
  <c r="E60" i="7" l="1"/>
  <c r="H59" i="7"/>
  <c r="E60" i="8"/>
  <c r="E95" i="8" s="1"/>
  <c r="E97" i="8" s="1"/>
  <c r="E98" i="8" s="1"/>
  <c r="H59" i="8"/>
  <c r="H49" i="8"/>
  <c r="E95" i="7"/>
  <c r="E97" i="7" s="1"/>
  <c r="E98" i="7" s="1"/>
  <c r="E92" i="6"/>
  <c r="E86" i="6"/>
  <c r="E73" i="6"/>
  <c r="E81" i="6" l="1"/>
  <c r="E75" i="6"/>
  <c r="E77" i="6"/>
  <c r="E65" i="6"/>
  <c r="E68" i="6"/>
  <c r="E63" i="6"/>
  <c r="E66" i="6"/>
  <c r="G93" i="6" l="1"/>
  <c r="E93" i="6"/>
  <c r="E58" i="6"/>
  <c r="E53" i="6"/>
  <c r="H51" i="6"/>
  <c r="E49" i="6"/>
  <c r="E44" i="6"/>
  <c r="E42" i="6"/>
  <c r="E41" i="6"/>
  <c r="E40" i="6"/>
  <c r="E39" i="6"/>
  <c r="E38" i="6"/>
  <c r="E37" i="6"/>
  <c r="E36" i="6"/>
  <c r="E35" i="6"/>
  <c r="E34" i="6"/>
  <c r="E33" i="6"/>
  <c r="E31" i="6"/>
  <c r="E30" i="6"/>
  <c r="E29" i="6"/>
  <c r="E28" i="6"/>
  <c r="E27" i="6"/>
  <c r="E26" i="6"/>
  <c r="E19" i="6"/>
  <c r="E16" i="6"/>
  <c r="E47" i="6" l="1"/>
  <c r="H49" i="6" s="1"/>
  <c r="E59" i="6"/>
  <c r="E60" i="6" s="1"/>
  <c r="E95" i="6" s="1"/>
  <c r="E97" i="6" s="1"/>
  <c r="E98" i="6" s="1"/>
  <c r="E20" i="1"/>
  <c r="E24" i="1"/>
  <c r="E25" i="1" s="1"/>
  <c r="E68" i="1"/>
  <c r="E85" i="1" s="1"/>
  <c r="E53" i="1"/>
  <c r="E97" i="1"/>
  <c r="E101" i="1"/>
  <c r="E105" i="1"/>
  <c r="E82" i="1"/>
  <c r="E84" i="1" l="1"/>
  <c r="H59" i="6"/>
  <c r="E83" i="1"/>
  <c r="E93" i="1" s="1"/>
  <c r="E107" i="1" s="1"/>
  <c r="E108" i="1" s="1"/>
</calcChain>
</file>

<file path=xl/sharedStrings.xml><?xml version="1.0" encoding="utf-8"?>
<sst xmlns="http://schemas.openxmlformats.org/spreadsheetml/2006/main" count="953" uniqueCount="326">
  <si>
    <t>Приложение № 2</t>
  </si>
  <si>
    <t>к Договору № 12/115 от 5 марта 2012 г.</t>
  </si>
  <si>
    <t>ПРОТОКОЛ</t>
  </si>
  <si>
    <t>соглашения о договорной цене</t>
  </si>
  <si>
    <t>на выполнение работ</t>
  </si>
  <si>
    <t>№ п/п</t>
  </si>
  <si>
    <t>Номера сметных расчетов (локальных и объектных смет)</t>
  </si>
  <si>
    <t>Наименование работ и затрат</t>
  </si>
  <si>
    <t>В текущих ценах с НДС 18% (тыс. руб.)</t>
  </si>
  <si>
    <t>Глава 2. Основные объекты строительства</t>
  </si>
  <si>
    <t>5.1</t>
  </si>
  <si>
    <t>5.2</t>
  </si>
  <si>
    <t>Строительно-монтажные работы</t>
  </si>
  <si>
    <t>Всего на 2013 г.:</t>
  </si>
  <si>
    <t>2014 год</t>
  </si>
  <si>
    <t>Всего на 2014 г.:</t>
  </si>
  <si>
    <t>2012 год</t>
  </si>
  <si>
    <t>Приобретение технологического оборудования</t>
  </si>
  <si>
    <t>Всего на 2012 г.:</t>
  </si>
  <si>
    <t>2013 год</t>
  </si>
  <si>
    <t>Итого:</t>
  </si>
  <si>
    <t>Строительно-монтажные работы, приобретение и монтаж технологического оборудования</t>
  </si>
  <si>
    <t>Страхование строительно-монтажных рисков по полису №1812-71CR5025 от 10.12.2012 г.</t>
  </si>
  <si>
    <t>2015 год</t>
  </si>
  <si>
    <t>Всего на 2015 г.:</t>
  </si>
  <si>
    <t>2016 год</t>
  </si>
  <si>
    <t>Всего на 2016 г.:</t>
  </si>
  <si>
    <t>Всего на 2017 г.:</t>
  </si>
  <si>
    <t>ИТОГО ТВЕРДАЯ ЦЕНА ДОГОВОРА СОСТАВЛЯЕТ:</t>
  </si>
  <si>
    <t>в т.ч. НДС 18%</t>
  </si>
  <si>
    <t>2017 год</t>
  </si>
  <si>
    <t>Инфляционный коэффициент, применяемый для определения стоимости Работ, определенный на этапе формирования договорной цены</t>
  </si>
  <si>
    <t>Год, статья затрат</t>
  </si>
  <si>
    <t>Индексы</t>
  </si>
  <si>
    <t>СМР</t>
  </si>
  <si>
    <t>Оборудование</t>
  </si>
  <si>
    <t>Прочие</t>
  </si>
  <si>
    <t>Подписи сторон:</t>
  </si>
  <si>
    <t>Генподрядчик:</t>
  </si>
  <si>
    <t>Заместитель начальника предприятия</t>
  </si>
  <si>
    <t>по обеспечению объектов строительства</t>
  </si>
  <si>
    <t>оборудованием и материалами - главный инженер</t>
  </si>
  <si>
    <t>ФГУП "Спецстройсервис"</t>
  </si>
  <si>
    <t>при Спецстрое России"</t>
  </si>
  <si>
    <t>А. А. Жуков</t>
  </si>
  <si>
    <t>__________________</t>
  </si>
  <si>
    <t>Заказчик:</t>
  </si>
  <si>
    <t>Генеральный директор</t>
  </si>
  <si>
    <t>ОАО "ЦКБ "Геофизика"</t>
  </si>
  <si>
    <t>А. С. Дегтерев</t>
  </si>
  <si>
    <t>Система пожаротушения</t>
  </si>
  <si>
    <t>Автоматизация пожаротушения</t>
  </si>
  <si>
    <t>Оборудование для рабочих мест регулировки и испытаний, в том числе:</t>
  </si>
  <si>
    <t>Корпус №3, в том числе:</t>
  </si>
  <si>
    <t>Глава 3. Комплекс складов</t>
  </si>
  <si>
    <t>Глава 4. Склад дизельного топлива</t>
  </si>
  <si>
    <t>Строительство сооружения гражданской обороны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</si>
  <si>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</si>
  <si>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</si>
  <si>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</si>
  <si>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</si>
  <si>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</si>
  <si>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</si>
  <si>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</si>
  <si>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</si>
  <si>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</si>
  <si>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</si>
  <si>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</si>
  <si>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</si>
  <si>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</si>
  <si>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</si>
  <si>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</si>
  <si>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</si>
  <si>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</si>
  <si>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</si>
  <si>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7.1</t>
  </si>
  <si>
    <t>7.2</t>
  </si>
  <si>
    <t>7.3</t>
  </si>
  <si>
    <t>8.1</t>
  </si>
  <si>
    <t>8.2</t>
  </si>
  <si>
    <t>8.3</t>
  </si>
  <si>
    <t>8.4</t>
  </si>
  <si>
    <t>10.1</t>
  </si>
  <si>
    <t>Изотропный измеритель электромагнитных полей П3-60 (1 шт.)</t>
  </si>
  <si>
    <t>Комплект измерительный К540 (1 шт.)</t>
  </si>
  <si>
    <t>Изделие "ПИКС" (1 шт.)</t>
  </si>
  <si>
    <t>Анализатор качества электроэнергии С.А.8335 (1 шт.)</t>
  </si>
  <si>
    <t>Генератор сигналов специальной формы Aglient 33250A (1 шт.)</t>
  </si>
  <si>
    <t>от "___" ____________ 2014 г.</t>
  </si>
  <si>
    <t>к Дополнительному соглашению № 5</t>
  </si>
  <si>
    <t>в том числе</t>
  </si>
  <si>
    <t>Приобретение оборудования (в.т.ч. Инженерное 54 090,000;                                         технологическое - 50 910,000)</t>
  </si>
  <si>
    <t>Приобретение оборудования за счет собственных средств заказчика</t>
  </si>
  <si>
    <t>по объекту "Опытного производства ОАО "ЦКБ "Геофизика", г. Красноярск</t>
  </si>
  <si>
    <t>Осциллограф цифровой запоминающий Le Croy WS64MXs-B (1 шт.)</t>
  </si>
  <si>
    <t>Измеритель параметров LCR GW Instek LCR-78101 G (1 шт.)</t>
  </si>
  <si>
    <t>Осциллограф цифровой запоминающий Le Croy WS44MXs-B (1 шт.)</t>
  </si>
  <si>
    <t>Строительные работы в осях А-Б, ряд 1-19, реконструкция кровли</t>
  </si>
  <si>
    <t>Электрическое освещение в осях А-Б, ряд 1-19</t>
  </si>
  <si>
    <t>Строительные работы в осях Н-П, ряд 1-19</t>
  </si>
  <si>
    <t>Строительные работы, реконструкция кровли</t>
  </si>
  <si>
    <t>Строительные работы в осях Д-И, ряд 1-19, реконструкция стенового ограждения</t>
  </si>
  <si>
    <t>Строительные работы в осях Д-И, ряд 1-19</t>
  </si>
  <si>
    <t>Строительные работы в осях И-К, ряд 1-19</t>
  </si>
  <si>
    <t>Строительные работы в осях К-Н, ряд 1-19, кирпичная кладка перегородок, устройство полов</t>
  </si>
  <si>
    <t>Строительные работы в осях П-Т, ряд 1-19, реконструкция стенового ограждения</t>
  </si>
  <si>
    <t>Строительные работы в осях П-Т, ряд 1-19</t>
  </si>
  <si>
    <t>Отопление и вентиляция в осях И5-Н1, ряд 1-19</t>
  </si>
  <si>
    <t>Отопление и вентиляция в осях Н1-Т, ряд 1-19</t>
  </si>
  <si>
    <t>Отопление и вентиляция в осях Д-И5, ряд 1-19</t>
  </si>
  <si>
    <t>Электрическое освещение в осях Н1-Т, ряд 1-19,
в осях К-Н, ряд 1-19,
в осях Д-И5, ряд 1-19</t>
  </si>
  <si>
    <t>Электрооборудование, прокладка кабелей и труб корпуса 2 в осях Н1-Т, ряд 1-19</t>
  </si>
  <si>
    <t>Внутренние сети водопровода и канализации в осях Н-Т, ряд 1-19,
в осях Д-К, ряд 1-19</t>
  </si>
  <si>
    <t>КИПИА, в осях Н-Т, ряд 1-19</t>
  </si>
  <si>
    <t>Корпус №1, в том числе:</t>
  </si>
  <si>
    <t>Корпус №2, в том числе:</t>
  </si>
  <si>
    <t>Строительные работы в осях А-Б, ряд 1-19, реконструкция покрытия</t>
  </si>
  <si>
    <t>Электроосвещение в осях А-Б, ряд 1-19</t>
  </si>
  <si>
    <t>Тепловой пункт</t>
  </si>
  <si>
    <t>8</t>
  </si>
  <si>
    <t>Средства измерений для рабочего места регулировки СУМ-30, в том числе:</t>
  </si>
  <si>
    <t>8.1.1</t>
  </si>
  <si>
    <t>8.1.2</t>
  </si>
  <si>
    <t>Средства измерений для рабочего места регулировки БУМ-8, в том числе:</t>
  </si>
  <si>
    <t>8.2.1</t>
  </si>
  <si>
    <t>8.2.2</t>
  </si>
  <si>
    <t>Средства измерений для рабочего места регулировки МПУ, в том числе:</t>
  </si>
  <si>
    <t>8.3.1</t>
  </si>
  <si>
    <t>8.3.2</t>
  </si>
  <si>
    <t>8.3.3</t>
  </si>
  <si>
    <t>8.3.4</t>
  </si>
  <si>
    <t>8.3.5</t>
  </si>
  <si>
    <t>Осциллограф-мультиметр цифровой Aglient U1604N (2 шт.)</t>
  </si>
  <si>
    <t>Анализатор спектра R&amp;S с опцией FSL-B30 FSL3 модель 03 (1 шт.)</t>
  </si>
  <si>
    <t>Строительные работы в осях А-Г, ряд 5-20, устройство фундаментов, монтаж каркаса, монтаж кровли, стенового ограждения</t>
  </si>
  <si>
    <t>Строительные работы, склад дизельного топлива</t>
  </si>
  <si>
    <t>Инженерное оборудование склада дизельного топлива</t>
  </si>
  <si>
    <t>Глава 5. Сооружения гражданской обороны</t>
  </si>
  <si>
    <t>Глава 6. Внутриплощадочные сети электроснабжения</t>
  </si>
  <si>
    <t>Устройство внутриплощадочных сетей электроснабжения</t>
  </si>
  <si>
    <t>Трансформаторная подстанция ТП 3021</t>
  </si>
  <si>
    <t>Устройство наружных сетей теплоснабжения</t>
  </si>
  <si>
    <t>Глава 8. Строительно-монтажные работы и приобретение технологического оборудования за собственные средства предприятия</t>
  </si>
  <si>
    <t>Приобретение НКУ</t>
  </si>
  <si>
    <t>Изыскательские работы, п.37</t>
  </si>
  <si>
    <t>Производство авторского надзора</t>
  </si>
  <si>
    <t>Разработка рабочей документации под программу 2015 г.</t>
  </si>
  <si>
    <t>Кабель АВВГ сеч 4х120</t>
  </si>
  <si>
    <t>Строительные работы в корпусе №2</t>
  </si>
  <si>
    <t>Глава 7. Наружные сети теплоснабжения</t>
  </si>
  <si>
    <t>ВСЕГО ЗА ФЕДЕРАЛЬНЫЕ ДЕНЬГИ:</t>
  </si>
  <si>
    <t xml:space="preserve"> Сооружения гражданской обороны</t>
  </si>
  <si>
    <t xml:space="preserve"> Внутриплощадочные сети электроснабжения</t>
  </si>
  <si>
    <t xml:space="preserve"> Наружные сети теплоснабжения</t>
  </si>
  <si>
    <t>от "___" ____________ 2015 г.</t>
  </si>
  <si>
    <t xml:space="preserve"> опытного производства ОАО «ЦКБ «Геофизика»</t>
  </si>
  <si>
    <t>на выполнение работ по «Реконструкции и техническому перевооружению</t>
  </si>
  <si>
    <t>к Дополнительному соглашению № 1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</si>
  <si>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</si>
  <si>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</si>
  <si>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</si>
  <si>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</si>
  <si>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</si>
  <si>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</si>
  <si>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</si>
  <si>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</si>
  <si>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</si>
  <si>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</si>
  <si>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</si>
  <si>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</si>
  <si>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</si>
  <si>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</si>
  <si>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</si>
  <si>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</si>
  <si>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</si>
  <si>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4.1</t>
  </si>
  <si>
    <t>10</t>
  </si>
  <si>
    <t>10.2</t>
  </si>
  <si>
    <t>11.1</t>
  </si>
  <si>
    <t>11.2</t>
  </si>
  <si>
    <t>11.3</t>
  </si>
  <si>
    <t>12.1</t>
  </si>
  <si>
    <t>12.2</t>
  </si>
  <si>
    <t>13</t>
  </si>
  <si>
    <t>13.1</t>
  </si>
  <si>
    <t>14</t>
  </si>
  <si>
    <t>14.1</t>
  </si>
  <si>
    <t>к Договору № 1203-22-СУБ от 06 марта 2012 г.</t>
  </si>
  <si>
    <t>Субподрядчик:</t>
  </si>
  <si>
    <t>ФГУП «ГУССТ №9 при Спецстрое России»</t>
  </si>
  <si>
    <t xml:space="preserve">Заместитель начальника предприятия </t>
  </si>
  <si>
    <t xml:space="preserve">оборудованием и материалами – </t>
  </si>
  <si>
    <t>при Спецстрое России»</t>
  </si>
  <si>
    <t xml:space="preserve">2014 год </t>
  </si>
  <si>
    <t>Главный инженер</t>
  </si>
  <si>
    <t>В.В. Бойко</t>
  </si>
  <si>
    <t>Работы 2014 года, выполняемые в 2015 году</t>
  </si>
  <si>
    <t>Итого 2012-2015 г.г.:</t>
  </si>
  <si>
    <t>10.3</t>
  </si>
  <si>
    <t>10.4</t>
  </si>
  <si>
    <t>10.5</t>
  </si>
  <si>
    <t>10.6</t>
  </si>
  <si>
    <t>Всего по работам 2014 года, выполняемым в 2015 году:</t>
  </si>
  <si>
    <t>10.7</t>
  </si>
  <si>
    <t>10.8</t>
  </si>
  <si>
    <t>КИПиА, в осях Н-Т, ряд 1-19</t>
  </si>
  <si>
    <t>12</t>
  </si>
  <si>
    <t>А.А. Жуков</t>
  </si>
  <si>
    <t>Строительные работы в осях А-Г, ряд 5-20, устройство фундаментов</t>
  </si>
  <si>
    <t>Строительные работы в осях А-Г, ряд 5-20, монтаж каркаса, монтаж кровли, стенового ограждения</t>
  </si>
  <si>
    <t>Комплекс складов, в том числе:</t>
  </si>
  <si>
    <t>главный инженер ФГУП «Спецстройсервис»</t>
  </si>
  <si>
    <t xml:space="preserve">Врио начальника СМУ №911 </t>
  </si>
  <si>
    <t>ФГУП "ГУССТ №9 при Спецстрое России"</t>
  </si>
  <si>
    <t>Начальник сметного отдела СМУ № 911</t>
  </si>
  <si>
    <t>А.И.Ласкаржевский</t>
  </si>
  <si>
    <t>Е.Ю.Николаева</t>
  </si>
  <si>
    <t>Строительные работы в осях Д-И, ряд 1-19 (п. 2.4 графика)</t>
  </si>
  <si>
    <t xml:space="preserve"> </t>
  </si>
  <si>
    <t>РАСЧЕТ НАЧАЛЬНОЙ ЦЕНЫ ДОГОВОРА</t>
  </si>
  <si>
    <t>1.1</t>
  </si>
  <si>
    <t>1.2</t>
  </si>
  <si>
    <t>1.3</t>
  </si>
  <si>
    <t>1.4</t>
  </si>
  <si>
    <t>Индексы, применяемые к базисной стоимости для определения стоимости Работ в текущих ценах:</t>
  </si>
  <si>
    <t>В текущих ценах, с НДС 20%, руб.</t>
  </si>
  <si>
    <t>Методические рекомендации по применению методов определения начальной (максимальной) цены договора, утверждены приказом Министерства экономического развития РФ от 02.10.2013 № 567</t>
  </si>
  <si>
    <t>Приоритетным, используемым по умолчанию методом для определения и обоснования НМЦ является проектно-сметный метод.</t>
  </si>
  <si>
    <t>2</t>
  </si>
  <si>
    <t>2.1</t>
  </si>
  <si>
    <t>в т.ч. НДС 20%:</t>
  </si>
  <si>
    <t>1</t>
  </si>
  <si>
    <t>на выполнение работ по объекту "Реконструкция и техническое перевооружение корпуса №2 и строений №12 и №64 ГНЦ ФГУП "Центр Келдыша"</t>
  </si>
  <si>
    <t>Реконструкция и техническое перевооружение строения №12</t>
  </si>
  <si>
    <t>Электроосвещение.Строение № 12</t>
  </si>
  <si>
    <t>Связь и сигнализация.Строение №12.</t>
  </si>
  <si>
    <t>Автоматизация оборотного водоснабжения. Строение №12</t>
  </si>
  <si>
    <t>Автоматизация противопожарного водопровода. Строение №12</t>
  </si>
  <si>
    <t>Автоматизация системы теплоснабжения. Строение №12</t>
  </si>
  <si>
    <t>Внешние сети электроснабжения.Молниезащита и заземление.Строение №12</t>
  </si>
  <si>
    <t>Внутриплощадочные сети связи</t>
  </si>
  <si>
    <t>Контроль и сигнализация опасных накоплений. Строение №12</t>
  </si>
  <si>
    <t>Воздухоснабжение.Строение №12</t>
  </si>
  <si>
    <t>Пусконаладочные работы вхолостую электрооборудования, автоматики и связи.Строение №12</t>
  </si>
  <si>
    <t>Пусконаладочные работы вхолостую холодоснабжения систем ХМ 1,ХМ2.Строение №12</t>
  </si>
  <si>
    <t>Пусконаладочные работы вхолостую холодоснабжения систем ХМ 1-5.Строение №12. (на площадке и крыше)</t>
  </si>
  <si>
    <t>Пусконаладочные работы вхолостую пожарной и охранной сигнализации.Сооружение №154 А</t>
  </si>
  <si>
    <t>Автоматизация и н/вольтный электропривод систем вентиляции. Строение №12</t>
  </si>
  <si>
    <t>Организация охранного периметра строение №12.</t>
  </si>
  <si>
    <t>Строительство площадки под установку дизельных генераторов.Строение №12В</t>
  </si>
  <si>
    <t>Дизельная электростанция.Строение 12</t>
  </si>
  <si>
    <t>Корпус №154</t>
  </si>
  <si>
    <t>Электроосвещениее.Корпус №154</t>
  </si>
  <si>
    <t>Электроосвещение.КПП.Корпус №154 А</t>
  </si>
  <si>
    <t>Связь и сигнализация.Корпус №154</t>
  </si>
  <si>
    <t>Связь и сигнализация.Корпус №154 А</t>
  </si>
  <si>
    <t>Система телевизионного наблюдения периметра, строение №154</t>
  </si>
  <si>
    <t>Охранная сигнализация периметра. Строение №154</t>
  </si>
  <si>
    <t>1.9</t>
  </si>
  <si>
    <t>1.10</t>
  </si>
  <si>
    <t>1.11</t>
  </si>
  <si>
    <t>1.12</t>
  </si>
  <si>
    <t>1.13</t>
  </si>
  <si>
    <t>1.14</t>
  </si>
  <si>
    <t>1.15</t>
  </si>
  <si>
    <t>1.17</t>
  </si>
  <si>
    <t>1.18</t>
  </si>
  <si>
    <t>Индекс, дефлятор</t>
  </si>
  <si>
    <t>2014</t>
  </si>
  <si>
    <t>6,68*6,0%</t>
  </si>
  <si>
    <t>3,31*6,0%</t>
  </si>
  <si>
    <t>Прочие (ПНР)</t>
  </si>
  <si>
    <t>16,71*6,0%</t>
  </si>
  <si>
    <t>2015</t>
  </si>
  <si>
    <t>6,68*6,0%*5,2%</t>
  </si>
  <si>
    <t>3,31*6,0%*5,2%</t>
  </si>
  <si>
    <t>16,71*6,0%*5,2%</t>
  </si>
  <si>
    <t>2016</t>
  </si>
  <si>
    <t>6,54*8,9%*4,7%</t>
  </si>
  <si>
    <t>3,44*8,9%*4,7%</t>
  </si>
  <si>
    <t>16,87*8,9%*4,7%</t>
  </si>
  <si>
    <t>Прочие (утилизация мусора)</t>
  </si>
  <si>
    <t>9,03*8,9%*4,7%</t>
  </si>
  <si>
    <t>2017</t>
  </si>
  <si>
    <t>6,54*8,9%*4,7%*4,6%</t>
  </si>
  <si>
    <t>3,44*8,9%*4,7%*4,6%</t>
  </si>
  <si>
    <t>16,87*8,9%*4,7%*4,6%</t>
  </si>
  <si>
    <t>9,03*8,9%*4,7%*4,6%</t>
  </si>
  <si>
    <t>2018</t>
  </si>
  <si>
    <t>6,54*8,9%*4,7%*4,6%*4,6%</t>
  </si>
  <si>
    <t>3,44*8,9%*4,7%*4,6%*4,6%</t>
  </si>
  <si>
    <t>16,87*8,9%*4,7%*4,6%*4,6%</t>
  </si>
  <si>
    <t>9,03*8,9%*4,7%*4,6%*4,6%</t>
  </si>
  <si>
    <t>1137-12-ЭМ</t>
  </si>
  <si>
    <t>1137-12-ЭО</t>
  </si>
  <si>
    <t>1137-12-СС</t>
  </si>
  <si>
    <t>1137-12-ЭС</t>
  </si>
  <si>
    <t>1137-12-ВСС</t>
  </si>
  <si>
    <t>1137-12-АТХ</t>
  </si>
  <si>
    <t>0931-12-ВС</t>
  </si>
  <si>
    <t>1137-12-ЭМ, 1137-12-ЭО, 1137-12-СС, 1137-12-АОВ, 1137-12-АТС1, 1137-12-АВК2, 1137-12-АВК1, 1137-12-АТХ1</t>
  </si>
  <si>
    <t>0931-12-ХС1</t>
  </si>
  <si>
    <t>0931-12-ХС</t>
  </si>
  <si>
    <t>1137-154-СС</t>
  </si>
  <si>
    <t>1137-12-АВК1</t>
  </si>
  <si>
    <t>1137-12-АВК2</t>
  </si>
  <si>
    <t>1137-12-АТС1</t>
  </si>
  <si>
    <t>1137-12-АОВ</t>
  </si>
  <si>
    <t>30.10.2020</t>
  </si>
  <si>
    <t>10.12.2020</t>
  </si>
  <si>
    <t>15.12.2020</t>
  </si>
  <si>
    <t>30.09.2020</t>
  </si>
  <si>
    <t>15.11.2020</t>
  </si>
  <si>
    <t>30.11.2020</t>
  </si>
  <si>
    <t>Силовое электрооборудование.Строение №12</t>
  </si>
  <si>
    <t>Силовое электрооборудование ТП№10, ТП№20.Строение №12</t>
  </si>
  <si>
    <t>Начальник производственно-технического отдела</t>
  </si>
  <si>
    <t>_______________ В.М.Смирнов</t>
  </si>
  <si>
    <t>_______________ Н.В.Дунаева</t>
  </si>
  <si>
    <t>1.5</t>
  </si>
  <si>
    <t>1.6</t>
  </si>
  <si>
    <t>1.7</t>
  </si>
  <si>
    <t>1.8</t>
  </si>
  <si>
    <t>1.16</t>
  </si>
  <si>
    <t xml:space="preserve">Пусконаладочные работы вхолостую пожарной и охранной сигнализации.Сооружение №154 </t>
  </si>
  <si>
    <t xml:space="preserve">Главный инженер-сметчик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</si>
</sst>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&quot;р.&quot;;\-#,##0.00&quot;р.&quot;"/>
    <numFmt numFmtId="165" formatCode="_-* #,##0.00_р_._-;\-* #,##0.00_р_._-;_-* &quot;-&quot;??_р_._-;_-@_-"/>
    <numFmt numFmtId="166" formatCode="#,##0.000_р_."/>
    <numFmt numFmtId="167" formatCode="0.000"/>
    <numFmt numFmtId="168" formatCode="#,##0.00&quot;р.&quot;"/>
    <numFmt numFmtId="169" formatCode="#,##0.00_р_."/>
    <numFmt numFmtId="170" formatCode="#,##0&quot;р.&quot;"/>
    <numFmt numFmtId="171" formatCode="#,##0.00_ ;\-#,##0.00\ 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u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8.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3" fillId="0" borderId="0" applyNumberFormat="0" applyFont="0" applyFill="0" applyBorder="0" applyAlignment="0" applyProtection="0">
      <alignment vertical="top"/>
    </xf>
  </cellStyleXfs>
  <cellXfs count="272">
    <xf numFmtId="0" fontId="0" fillId="0" borderId="0" xfId="0"/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right" wrapText="1"/>
    </xf>
    <xf numFmtId="0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wrapText="1"/>
    </xf>
    <xf numFmtId="168" fontId="2" fillId="0" borderId="0" xfId="0" applyNumberFormat="1" applyFont="1" applyAlignment="1">
      <alignment wrapText="1"/>
    </xf>
    <xf numFmtId="167" fontId="2" fillId="0" borderId="0" xfId="0" applyNumberFormat="1" applyFont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wrapText="1"/>
    </xf>
    <xf numFmtId="0" fontId="2" fillId="0" borderId="1" xfId="0" applyNumberFormat="1" applyFont="1" applyFill="1" applyBorder="1" applyAlignment="1">
      <alignment horizontal="center" vertical="center" wrapText="1"/>
    </xf>
    <xf numFmtId="165" fontId="2" fillId="0" borderId="0" xfId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wrapText="1"/>
    </xf>
    <xf numFmtId="49" fontId="9" fillId="0" borderId="0" xfId="0" applyNumberFormat="1" applyFont="1" applyAlignment="1">
      <alignment wrapText="1"/>
    </xf>
    <xf numFmtId="49" fontId="3" fillId="0" borderId="3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 wrapText="1"/>
    </xf>
    <xf numFmtId="169" fontId="3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49" fontId="2" fillId="0" borderId="2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right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3" xfId="0" applyFont="1" applyBorder="1"/>
    <xf numFmtId="171" fontId="10" fillId="0" borderId="6" xfId="1" applyNumberFormat="1" applyFont="1" applyFill="1" applyBorder="1" applyAlignment="1">
      <alignment vertical="center"/>
    </xf>
    <xf numFmtId="171" fontId="10" fillId="0" borderId="0" xfId="1" applyNumberFormat="1" applyFont="1" applyFill="1" applyBorder="1" applyAlignment="1">
      <alignment vertical="center"/>
    </xf>
    <xf numFmtId="171" fontId="10" fillId="3" borderId="6" xfId="1" applyNumberFormat="1" applyFont="1" applyFill="1" applyBorder="1" applyAlignment="1">
      <alignment vertical="center"/>
    </xf>
    <xf numFmtId="171" fontId="10" fillId="3" borderId="0" xfId="1" applyNumberFormat="1" applyFont="1" applyFill="1" applyBorder="1" applyAlignment="1">
      <alignment vertical="center"/>
    </xf>
    <xf numFmtId="171" fontId="10" fillId="0" borderId="6" xfId="1" applyNumberFormat="1" applyFont="1" applyFill="1" applyBorder="1" applyAlignment="1">
      <alignment vertical="center" wrapText="1"/>
    </xf>
    <xf numFmtId="171" fontId="10" fillId="0" borderId="0" xfId="1" applyNumberFormat="1" applyFont="1" applyFill="1" applyBorder="1" applyAlignment="1">
      <alignment vertical="center" wrapText="1"/>
    </xf>
    <xf numFmtId="169" fontId="11" fillId="0" borderId="6" xfId="0" applyNumberFormat="1" applyFont="1" applyFill="1" applyBorder="1" applyAlignment="1">
      <alignment vertical="center" wrapText="1"/>
    </xf>
    <xf numFmtId="169" fontId="11" fillId="0" borderId="0" xfId="0" applyNumberFormat="1" applyFont="1" applyFill="1" applyBorder="1" applyAlignment="1">
      <alignment vertical="center" wrapText="1"/>
    </xf>
    <xf numFmtId="169" fontId="10" fillId="0" borderId="6" xfId="0" applyNumberFormat="1" applyFont="1" applyFill="1" applyBorder="1" applyAlignment="1">
      <alignment vertical="center"/>
    </xf>
    <xf numFmtId="169" fontId="10" fillId="0" borderId="0" xfId="0" applyNumberFormat="1" applyFont="1" applyFill="1" applyBorder="1" applyAlignment="1">
      <alignment vertical="center"/>
    </xf>
    <xf numFmtId="171" fontId="11" fillId="0" borderId="6" xfId="1" applyNumberFormat="1" applyFont="1" applyBorder="1" applyAlignment="1">
      <alignment wrapText="1"/>
    </xf>
    <xf numFmtId="171" fontId="11" fillId="0" borderId="0" xfId="1" applyNumberFormat="1" applyFont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right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171" fontId="2" fillId="0" borderId="0" xfId="1" applyNumberFormat="1" applyFont="1" applyFill="1" applyBorder="1" applyAlignment="1">
      <alignment vertical="center"/>
    </xf>
    <xf numFmtId="171" fontId="2" fillId="3" borderId="0" xfId="1" applyNumberFormat="1" applyFont="1" applyFill="1" applyBorder="1" applyAlignment="1">
      <alignment vertical="center"/>
    </xf>
    <xf numFmtId="171" fontId="2" fillId="0" borderId="0" xfId="1" applyNumberFormat="1" applyFont="1" applyFill="1" applyBorder="1" applyAlignment="1">
      <alignment vertical="center" wrapText="1"/>
    </xf>
    <xf numFmtId="169" fontId="3" fillId="0" borderId="0" xfId="0" applyNumberFormat="1" applyFont="1" applyFill="1" applyBorder="1" applyAlignment="1">
      <alignment vertical="center" wrapText="1"/>
    </xf>
    <xf numFmtId="169" fontId="2" fillId="0" borderId="0" xfId="0" applyNumberFormat="1" applyFont="1" applyFill="1" applyBorder="1" applyAlignment="1">
      <alignment vertical="center"/>
    </xf>
    <xf numFmtId="171" fontId="3" fillId="0" borderId="0" xfId="1" applyNumberFormat="1" applyFont="1" applyBorder="1" applyAlignment="1">
      <alignment wrapText="1"/>
    </xf>
    <xf numFmtId="169" fontId="2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49" fontId="9" fillId="0" borderId="0" xfId="0" applyNumberFormat="1" applyFont="1" applyAlignment="1">
      <alignment horizontal="left" wrapText="1"/>
    </xf>
    <xf numFmtId="49" fontId="2" fillId="4" borderId="0" xfId="0" applyNumberFormat="1" applyFont="1" applyFill="1" applyAlignment="1">
      <alignment wrapText="1"/>
    </xf>
    <xf numFmtId="49" fontId="2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Alignment="1"/>
    <xf numFmtId="49" fontId="3" fillId="4" borderId="0" xfId="0" applyNumberFormat="1" applyFont="1" applyFill="1" applyAlignment="1">
      <alignment wrapText="1"/>
    </xf>
    <xf numFmtId="0" fontId="2" fillId="4" borderId="0" xfId="0" applyFont="1" applyFill="1" applyAlignment="1">
      <alignment vertical="center"/>
    </xf>
    <xf numFmtId="0" fontId="2" fillId="4" borderId="3" xfId="0" applyFont="1" applyFill="1" applyBorder="1"/>
    <xf numFmtId="0" fontId="2" fillId="4" borderId="0" xfId="0" applyFont="1" applyFill="1"/>
    <xf numFmtId="49" fontId="3" fillId="4" borderId="3" xfId="0" applyNumberFormat="1" applyFont="1" applyFill="1" applyBorder="1" applyAlignment="1">
      <alignment wrapText="1"/>
    </xf>
    <xf numFmtId="0" fontId="2" fillId="4" borderId="0" xfId="0" applyFont="1" applyFill="1" applyAlignment="1">
      <alignment horizontal="left"/>
    </xf>
    <xf numFmtId="49" fontId="2" fillId="4" borderId="0" xfId="0" applyNumberFormat="1" applyFont="1" applyFill="1" applyAlignment="1">
      <alignment horizontal="right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wrapText="1"/>
    </xf>
    <xf numFmtId="49" fontId="2" fillId="4" borderId="1" xfId="0" applyNumberFormat="1" applyFont="1" applyFill="1" applyBorder="1" applyAlignment="1">
      <alignment horizontal="center" wrapText="1"/>
    </xf>
    <xf numFmtId="49" fontId="3" fillId="4" borderId="1" xfId="0" applyNumberFormat="1" applyFont="1" applyFill="1" applyBorder="1" applyAlignment="1">
      <alignment horizontal="center" wrapText="1"/>
    </xf>
    <xf numFmtId="49" fontId="2" fillId="4" borderId="1" xfId="0" applyNumberFormat="1" applyFont="1" applyFill="1" applyBorder="1" applyAlignment="1">
      <alignment horizontal="center" vertical="top" wrapText="1"/>
    </xf>
    <xf numFmtId="49" fontId="2" fillId="4" borderId="1" xfId="0" applyNumberFormat="1" applyFont="1" applyFill="1" applyBorder="1" applyAlignment="1">
      <alignment wrapText="1"/>
    </xf>
    <xf numFmtId="49" fontId="3" fillId="4" borderId="1" xfId="0" applyNumberFormat="1" applyFont="1" applyFill="1" applyBorder="1" applyAlignment="1">
      <alignment wrapText="1"/>
    </xf>
    <xf numFmtId="49" fontId="2" fillId="4" borderId="1" xfId="0" applyNumberFormat="1" applyFont="1" applyFill="1" applyBorder="1" applyAlignment="1">
      <alignment vertical="center" wrapText="1"/>
    </xf>
    <xf numFmtId="49" fontId="2" fillId="4" borderId="0" xfId="0" applyNumberFormat="1" applyFont="1" applyFill="1" applyAlignment="1">
      <alignment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wrapText="1"/>
    </xf>
    <xf numFmtId="49" fontId="2" fillId="4" borderId="1" xfId="0" applyNumberFormat="1" applyFont="1" applyFill="1" applyBorder="1" applyAlignment="1">
      <alignment wrapText="1"/>
    </xf>
    <xf numFmtId="49" fontId="2" fillId="0" borderId="2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49" fontId="2" fillId="0" borderId="5" xfId="0" applyNumberFormat="1" applyFont="1" applyBorder="1" applyAlignment="1">
      <alignment horizontal="left" wrapText="1"/>
    </xf>
    <xf numFmtId="169" fontId="3" fillId="0" borderId="2" xfId="0" applyNumberFormat="1" applyFont="1" applyBorder="1" applyAlignment="1">
      <alignment horizontal="center" vertical="center" wrapText="1"/>
    </xf>
    <xf numFmtId="169" fontId="3" fillId="0" borderId="5" xfId="0" applyNumberFormat="1" applyFont="1" applyBorder="1" applyAlignment="1">
      <alignment horizontal="center" vertical="center" wrapText="1"/>
    </xf>
    <xf numFmtId="169" fontId="2" fillId="0" borderId="2" xfId="0" applyNumberFormat="1" applyFont="1" applyBorder="1" applyAlignment="1">
      <alignment horizontal="center" vertical="center" wrapText="1"/>
    </xf>
    <xf numFmtId="169" fontId="2" fillId="0" borderId="5" xfId="0" applyNumberFormat="1" applyFont="1" applyBorder="1" applyAlignment="1">
      <alignment horizontal="center" vertical="center" wrapText="1"/>
    </xf>
    <xf numFmtId="169" fontId="6" fillId="0" borderId="2" xfId="0" applyNumberFormat="1" applyFont="1" applyBorder="1" applyAlignment="1">
      <alignment horizontal="center" vertical="center"/>
    </xf>
    <xf numFmtId="169" fontId="6" fillId="0" borderId="5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wrapText="1"/>
    </xf>
    <xf numFmtId="49" fontId="3" fillId="0" borderId="4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horizontal="left" wrapText="1"/>
    </xf>
    <xf numFmtId="169" fontId="7" fillId="0" borderId="2" xfId="0" applyNumberFormat="1" applyFont="1" applyBorder="1" applyAlignment="1">
      <alignment horizontal="center" vertical="center"/>
    </xf>
    <xf numFmtId="169" fontId="7" fillId="0" borderId="5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169" fontId="3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49" fontId="2" fillId="0" borderId="5" xfId="0" applyNumberFormat="1" applyFont="1" applyBorder="1" applyAlignment="1">
      <alignment wrapText="1"/>
    </xf>
    <xf numFmtId="169" fontId="2" fillId="0" borderId="2" xfId="0" applyNumberFormat="1" applyFont="1" applyBorder="1" applyAlignment="1">
      <alignment horizontal="center" wrapText="1"/>
    </xf>
    <xf numFmtId="169" fontId="2" fillId="0" borderId="5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left" wrapText="1"/>
    </xf>
    <xf numFmtId="49" fontId="5" fillId="0" borderId="4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166" fontId="2" fillId="0" borderId="2" xfId="0" applyNumberFormat="1" applyFont="1" applyBorder="1" applyAlignment="1">
      <alignment horizontal="center" wrapText="1"/>
    </xf>
    <xf numFmtId="166" fontId="2" fillId="0" borderId="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center" vertical="justify" wrapText="1"/>
    </xf>
    <xf numFmtId="49" fontId="2" fillId="0" borderId="0" xfId="0" applyNumberFormat="1" applyFont="1" applyAlignment="1">
      <alignment horizontal="center" wrapText="1"/>
    </xf>
    <xf numFmtId="166" fontId="2" fillId="0" borderId="1" xfId="0" applyNumberFormat="1" applyFont="1" applyBorder="1" applyAlignment="1">
      <alignment horizontal="center" wrapText="1"/>
    </xf>
    <xf numFmtId="169" fontId="3" fillId="0" borderId="1" xfId="0" applyNumberFormat="1" applyFont="1" applyBorder="1" applyAlignment="1">
      <alignment horizontal="center" wrapText="1"/>
    </xf>
    <xf numFmtId="166" fontId="3" fillId="0" borderId="2" xfId="0" applyNumberFormat="1" applyFont="1" applyBorder="1" applyAlignment="1">
      <alignment horizontal="center" wrapText="1"/>
    </xf>
    <xf numFmtId="166" fontId="3" fillId="0" borderId="5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left" wrapText="1"/>
    </xf>
    <xf numFmtId="166" fontId="3" fillId="0" borderId="1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right" wrapText="1"/>
    </xf>
    <xf numFmtId="168" fontId="2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right" wrapText="1"/>
    </xf>
    <xf numFmtId="170" fontId="3" fillId="0" borderId="0" xfId="0" applyNumberFormat="1" applyFont="1" applyAlignment="1">
      <alignment horizont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wrapText="1"/>
    </xf>
    <xf numFmtId="0" fontId="3" fillId="0" borderId="2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top" wrapText="1" indent="16"/>
    </xf>
    <xf numFmtId="49" fontId="3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left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71" fontId="3" fillId="0" borderId="2" xfId="1" applyNumberFormat="1" applyFont="1" applyBorder="1" applyAlignment="1">
      <alignment horizontal="center" wrapText="1"/>
    </xf>
    <xf numFmtId="171" fontId="3" fillId="0" borderId="5" xfId="1" applyNumberFormat="1" applyFont="1" applyBorder="1" applyAlignment="1">
      <alignment horizontal="center" wrapText="1"/>
    </xf>
    <xf numFmtId="169" fontId="3" fillId="0" borderId="2" xfId="0" applyNumberFormat="1" applyFont="1" applyBorder="1" applyAlignment="1">
      <alignment horizontal="center" wrapText="1"/>
    </xf>
    <xf numFmtId="169" fontId="3" fillId="0" borderId="5" xfId="0" applyNumberFormat="1" applyFont="1" applyBorder="1" applyAlignment="1">
      <alignment horizontal="center" wrapText="1"/>
    </xf>
    <xf numFmtId="0" fontId="6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169" fontId="2" fillId="0" borderId="2" xfId="0" applyNumberFormat="1" applyFont="1" applyFill="1" applyBorder="1" applyAlignment="1">
      <alignment horizontal="center" vertical="center"/>
    </xf>
    <xf numFmtId="169" fontId="2" fillId="0" borderId="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169" fontId="3" fillId="0" borderId="2" xfId="0" applyNumberFormat="1" applyFont="1" applyFill="1" applyBorder="1" applyAlignment="1">
      <alignment horizontal="center" vertical="center" wrapText="1"/>
    </xf>
    <xf numFmtId="169" fontId="3" fillId="0" borderId="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171" fontId="2" fillId="0" borderId="2" xfId="1" applyNumberFormat="1" applyFont="1" applyFill="1" applyBorder="1" applyAlignment="1">
      <alignment horizontal="center" vertical="center"/>
    </xf>
    <xf numFmtId="171" fontId="2" fillId="0" borderId="5" xfId="1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wrapText="1"/>
    </xf>
    <xf numFmtId="49" fontId="3" fillId="0" borderId="4" xfId="0" applyNumberFormat="1" applyFont="1" applyFill="1" applyBorder="1" applyAlignment="1">
      <alignment horizontal="left" wrapText="1"/>
    </xf>
    <xf numFmtId="49" fontId="3" fillId="0" borderId="5" xfId="0" applyNumberFormat="1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171" fontId="10" fillId="0" borderId="2" xfId="1" applyNumberFormat="1" applyFont="1" applyFill="1" applyBorder="1" applyAlignment="1">
      <alignment horizontal="center" vertical="center"/>
    </xf>
    <xf numFmtId="171" fontId="10" fillId="0" borderId="5" xfId="1" applyNumberFormat="1" applyFont="1" applyFill="1" applyBorder="1" applyAlignment="1">
      <alignment horizontal="center" vertical="center"/>
    </xf>
    <xf numFmtId="169" fontId="2" fillId="0" borderId="2" xfId="0" applyNumberFormat="1" applyFont="1" applyFill="1" applyBorder="1" applyAlignment="1">
      <alignment horizontal="center" vertical="center" wrapText="1"/>
    </xf>
    <xf numFmtId="169" fontId="2" fillId="0" borderId="5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wrapText="1"/>
    </xf>
    <xf numFmtId="49" fontId="2" fillId="0" borderId="4" xfId="0" applyNumberFormat="1" applyFont="1" applyFill="1" applyBorder="1" applyAlignment="1">
      <alignment horizontal="left" wrapText="1"/>
    </xf>
    <xf numFmtId="49" fontId="2" fillId="0" borderId="5" xfId="0" applyNumberFormat="1" applyFont="1" applyFill="1" applyBorder="1" applyAlignment="1">
      <alignment horizontal="left" wrapText="1"/>
    </xf>
    <xf numFmtId="171" fontId="2" fillId="0" borderId="2" xfId="1" applyNumberFormat="1" applyFont="1" applyFill="1" applyBorder="1" applyAlignment="1">
      <alignment horizontal="center" vertical="center" wrapText="1"/>
    </xf>
    <xf numFmtId="171" fontId="2" fillId="0" borderId="5" xfId="1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left" wrapText="1"/>
    </xf>
    <xf numFmtId="49" fontId="2" fillId="3" borderId="4" xfId="0" applyNumberFormat="1" applyFont="1" applyFill="1" applyBorder="1" applyAlignment="1">
      <alignment horizontal="left" wrapText="1"/>
    </xf>
    <xf numFmtId="49" fontId="2" fillId="3" borderId="5" xfId="0" applyNumberFormat="1" applyFont="1" applyFill="1" applyBorder="1" applyAlignment="1">
      <alignment horizontal="left" wrapText="1"/>
    </xf>
    <xf numFmtId="171" fontId="2" fillId="3" borderId="2" xfId="1" applyNumberFormat="1" applyFont="1" applyFill="1" applyBorder="1" applyAlignment="1">
      <alignment horizontal="center" vertical="center"/>
    </xf>
    <xf numFmtId="171" fontId="2" fillId="3" borderId="5" xfId="1" applyNumberFormat="1" applyFont="1" applyFill="1" applyBorder="1" applyAlignment="1">
      <alignment horizontal="center" vertical="center"/>
    </xf>
    <xf numFmtId="171" fontId="2" fillId="0" borderId="2" xfId="1" applyNumberFormat="1" applyFont="1" applyBorder="1" applyAlignment="1">
      <alignment horizontal="center" wrapText="1"/>
    </xf>
    <xf numFmtId="171" fontId="2" fillId="0" borderId="5" xfId="1" applyNumberFormat="1" applyFont="1" applyBorder="1" applyAlignment="1">
      <alignment horizontal="center" wrapText="1"/>
    </xf>
    <xf numFmtId="169" fontId="6" fillId="0" borderId="2" xfId="0" applyNumberFormat="1" applyFont="1" applyFill="1" applyBorder="1" applyAlignment="1">
      <alignment horizontal="center" vertical="center"/>
    </xf>
    <xf numFmtId="169" fontId="6" fillId="0" borderId="5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9" fontId="7" fillId="0" borderId="2" xfId="0" applyNumberFormat="1" applyFont="1" applyFill="1" applyBorder="1" applyAlignment="1">
      <alignment horizontal="center" vertical="center"/>
    </xf>
    <xf numFmtId="169" fontId="7" fillId="0" borderId="5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  <xf numFmtId="49" fontId="5" fillId="0" borderId="5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wrapText="1"/>
    </xf>
    <xf numFmtId="49" fontId="9" fillId="0" borderId="0" xfId="0" applyNumberFormat="1" applyFont="1" applyAlignment="1">
      <alignment horizontal="right" wrapText="1"/>
    </xf>
    <xf numFmtId="171" fontId="2" fillId="3" borderId="2" xfId="1" applyNumberFormat="1" applyFont="1" applyFill="1" applyBorder="1" applyAlignment="1">
      <alignment horizontal="center" vertical="center" wrapText="1"/>
    </xf>
    <xf numFmtId="171" fontId="2" fillId="3" borderId="5" xfId="1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4" borderId="0" xfId="0" applyNumberFormat="1" applyFont="1" applyFill="1" applyAlignment="1">
      <alignment horizontal="left" wrapText="1"/>
    </xf>
    <xf numFmtId="0" fontId="0" fillId="0" borderId="0" xfId="0" applyFont="1" applyAlignment="1">
      <alignment wrapText="1"/>
    </xf>
    <xf numFmtId="49" fontId="2" fillId="4" borderId="0" xfId="0" applyNumberFormat="1" applyFont="1" applyFill="1" applyAlignment="1">
      <alignment horizontal="right" wrapText="1"/>
    </xf>
    <xf numFmtId="171" fontId="2" fillId="4" borderId="0" xfId="0" applyNumberFormat="1" applyFont="1" applyFill="1" applyAlignment="1">
      <alignment horizontal="center" wrapText="1"/>
    </xf>
    <xf numFmtId="164" fontId="2" fillId="4" borderId="0" xfId="0" applyNumberFormat="1" applyFont="1" applyFill="1" applyAlignment="1">
      <alignment horizontal="center" wrapText="1"/>
    </xf>
    <xf numFmtId="49" fontId="2" fillId="4" borderId="0" xfId="0" applyNumberFormat="1" applyFont="1" applyFill="1" applyAlignment="1">
      <alignment horizontal="center" wrapText="1"/>
    </xf>
    <xf numFmtId="0" fontId="2" fillId="4" borderId="0" xfId="0" applyFont="1" applyFill="1" applyAlignment="1">
      <alignment horizontal="left"/>
    </xf>
    <xf numFmtId="49" fontId="3" fillId="4" borderId="0" xfId="0" applyNumberFormat="1" applyFont="1" applyFill="1" applyAlignment="1">
      <alignment horizontal="left" vertical="top" wrapText="1" indent="16"/>
    </xf>
    <xf numFmtId="49" fontId="3" fillId="4" borderId="0" xfId="0" applyNumberFormat="1" applyFont="1" applyFill="1" applyAlignment="1">
      <alignment horizontal="left" wrapText="1"/>
    </xf>
    <xf numFmtId="49" fontId="2" fillId="4" borderId="0" xfId="0" applyNumberFormat="1" applyFont="1" applyFill="1" applyAlignment="1">
      <alignment horizontal="left"/>
    </xf>
    <xf numFmtId="49" fontId="9" fillId="4" borderId="0" xfId="0" applyNumberFormat="1" applyFont="1" applyFill="1" applyAlignment="1">
      <alignment horizontal="center" wrapText="1"/>
    </xf>
    <xf numFmtId="0" fontId="12" fillId="0" borderId="0" xfId="0" applyFont="1" applyAlignment="1">
      <alignment horizontal="center" wrapText="1"/>
    </xf>
    <xf numFmtId="49" fontId="3" fillId="4" borderId="0" xfId="0" applyNumberFormat="1" applyFont="1" applyFill="1" applyAlignment="1">
      <alignment horizontal="center" wrapText="1"/>
    </xf>
    <xf numFmtId="49" fontId="3" fillId="4" borderId="0" xfId="0" applyNumberFormat="1" applyFont="1" applyFill="1" applyAlignment="1">
      <alignment horizontal="center" vertical="center" wrapText="1"/>
    </xf>
    <xf numFmtId="49" fontId="2" fillId="4" borderId="0" xfId="0" applyNumberFormat="1" applyFont="1" applyFill="1" applyAlignment="1">
      <alignment horizontal="center" vertical="justify" wrapText="1"/>
    </xf>
    <xf numFmtId="0" fontId="0" fillId="0" borderId="0" xfId="0" applyAlignment="1">
      <alignment horizontal="center" vertical="justify" wrapText="1"/>
    </xf>
    <xf numFmtId="49" fontId="3" fillId="4" borderId="2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 wrapText="1"/>
    </xf>
    <xf numFmtId="169" fontId="7" fillId="4" borderId="2" xfId="0" applyNumberFormat="1" applyFont="1" applyFill="1" applyBorder="1" applyAlignment="1">
      <alignment horizontal="right" vertical="center"/>
    </xf>
    <xf numFmtId="169" fontId="7" fillId="4" borderId="5" xfId="0" applyNumberFormat="1" applyFont="1" applyFill="1" applyBorder="1" applyAlignment="1">
      <alignment horizontal="right" vertical="center"/>
    </xf>
    <xf numFmtId="49" fontId="3" fillId="4" borderId="7" xfId="0" applyNumberFormat="1" applyFont="1" applyFill="1" applyBorder="1" applyAlignment="1">
      <alignment horizontal="right" vertical="top" wrapText="1"/>
    </xf>
    <xf numFmtId="0" fontId="0" fillId="0" borderId="7" xfId="0" applyBorder="1" applyAlignment="1">
      <alignment horizontal="right" vertical="top" wrapText="1"/>
    </xf>
    <xf numFmtId="169" fontId="6" fillId="4" borderId="2" xfId="0" applyNumberFormat="1" applyFont="1" applyFill="1" applyBorder="1" applyAlignment="1">
      <alignment horizontal="center" vertical="center"/>
    </xf>
    <xf numFmtId="169" fontId="6" fillId="4" borderId="5" xfId="0" applyNumberFormat="1" applyFont="1" applyFill="1" applyBorder="1" applyAlignment="1">
      <alignment horizontal="center" vertical="center"/>
    </xf>
    <xf numFmtId="4" fontId="14" fillId="0" borderId="2" xfId="2" applyNumberFormat="1" applyFont="1" applyFill="1" applyBorder="1" applyAlignment="1" applyProtection="1">
      <alignment horizontal="center" vertical="center"/>
    </xf>
    <xf numFmtId="4" fontId="14" fillId="0" borderId="5" xfId="2" applyNumberFormat="1" applyFont="1" applyFill="1" applyBorder="1" applyAlignment="1" applyProtection="1">
      <alignment horizontal="center" vertical="center"/>
    </xf>
    <xf numFmtId="171" fontId="2" fillId="4" borderId="7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view="pageBreakPreview" topLeftCell="A82" zoomScaleNormal="100" workbookViewId="0">
      <selection activeCell="B30" sqref="B30:D30"/>
    </sheetView>
  </sheetViews>
  <sheetFormatPr defaultColWidth="9.140625" defaultRowHeight="15" x14ac:dyDescent="0.25"/>
  <cols>
    <col min="1" max="1" width="5.5703125" style="1" customWidth="1"/>
    <col min="2" max="2" width="22" style="1" customWidth="1"/>
    <col min="3" max="3" width="18.7109375" style="1" customWidth="1"/>
    <col min="4" max="4" width="21.42578125" style="1" customWidth="1"/>
    <col min="5" max="5" width="8.28515625" style="1" customWidth="1"/>
    <col min="6" max="6" width="9.85546875" style="1" customWidth="1"/>
    <col min="7" max="7" width="16.7109375" style="1" bestFit="1" customWidth="1"/>
    <col min="8" max="8" width="9.42578125" style="1" bestFit="1" customWidth="1"/>
    <col min="9" max="16384" width="9.140625" style="1"/>
  </cols>
  <sheetData>
    <row r="1" spans="1:7" ht="15.75" customHeight="1" x14ac:dyDescent="0.25">
      <c r="D1" s="144" t="s">
        <v>0</v>
      </c>
      <c r="E1" s="144"/>
      <c r="F1" s="144"/>
      <c r="G1" s="2"/>
    </row>
    <row r="2" spans="1:7" ht="15.75" customHeight="1" x14ac:dyDescent="0.25">
      <c r="D2" s="145" t="s">
        <v>89</v>
      </c>
      <c r="E2" s="145"/>
      <c r="F2" s="145"/>
    </row>
    <row r="3" spans="1:7" ht="15.75" customHeight="1" x14ac:dyDescent="0.25">
      <c r="D3" s="144" t="s">
        <v>88</v>
      </c>
      <c r="E3" s="144"/>
      <c r="F3" s="144"/>
      <c r="G3" s="2"/>
    </row>
    <row r="4" spans="1:7" ht="15.75" customHeight="1" x14ac:dyDescent="0.25">
      <c r="D4" s="145" t="s">
        <v>1</v>
      </c>
      <c r="E4" s="145"/>
      <c r="F4" s="145"/>
    </row>
    <row r="9" spans="1:7" hidden="1" x14ac:dyDescent="0.25"/>
    <row r="10" spans="1:7" x14ac:dyDescent="0.25">
      <c r="A10" s="147" t="s">
        <v>2</v>
      </c>
      <c r="B10" s="147"/>
      <c r="C10" s="147"/>
      <c r="D10" s="147"/>
      <c r="E10" s="147"/>
      <c r="F10" s="147"/>
    </row>
    <row r="11" spans="1:7" x14ac:dyDescent="0.25">
      <c r="A11" s="147" t="s">
        <v>3</v>
      </c>
      <c r="B11" s="147"/>
      <c r="C11" s="147"/>
      <c r="D11" s="147"/>
      <c r="E11" s="147"/>
      <c r="F11" s="147"/>
    </row>
    <row r="12" spans="1:7" x14ac:dyDescent="0.25">
      <c r="A12" s="147" t="s">
        <v>4</v>
      </c>
      <c r="B12" s="147"/>
      <c r="C12" s="147"/>
      <c r="D12" s="147"/>
      <c r="E12" s="147"/>
      <c r="F12" s="147"/>
    </row>
    <row r="13" spans="1:7" ht="30" customHeight="1" x14ac:dyDescent="0.25">
      <c r="A13" s="146" t="s">
        <v>93</v>
      </c>
      <c r="B13" s="146"/>
      <c r="C13" s="146"/>
      <c r="D13" s="146"/>
      <c r="E13" s="146"/>
      <c r="F13" s="146"/>
    </row>
    <row r="15" spans="1:7" ht="45" x14ac:dyDescent="0.25">
      <c r="A15" s="3" t="s">
        <v>5</v>
      </c>
      <c r="B15" s="3" t="s">
        <v>6</v>
      </c>
      <c r="C15" s="143" t="s">
        <v>7</v>
      </c>
      <c r="D15" s="143"/>
      <c r="E15" s="143" t="s">
        <v>8</v>
      </c>
      <c r="F15" s="143"/>
    </row>
    <row r="16" spans="1:7" x14ac:dyDescent="0.25">
      <c r="A16" s="4">
        <v>1</v>
      </c>
      <c r="B16" s="4">
        <v>2</v>
      </c>
      <c r="C16" s="136">
        <v>3</v>
      </c>
      <c r="D16" s="138"/>
      <c r="E16" s="136">
        <v>4</v>
      </c>
      <c r="F16" s="138"/>
    </row>
    <row r="17" spans="1:6" x14ac:dyDescent="0.25">
      <c r="A17" s="142" t="s">
        <v>16</v>
      </c>
      <c r="B17" s="142"/>
      <c r="C17" s="142"/>
      <c r="D17" s="142"/>
      <c r="E17" s="142"/>
      <c r="F17" s="142"/>
    </row>
    <row r="18" spans="1:6" x14ac:dyDescent="0.25">
      <c r="A18" s="4">
        <v>1</v>
      </c>
      <c r="B18" s="88" t="s">
        <v>12</v>
      </c>
      <c r="C18" s="89"/>
      <c r="D18" s="90"/>
      <c r="E18" s="139">
        <v>131000</v>
      </c>
      <c r="F18" s="140"/>
    </row>
    <row r="19" spans="1:6" x14ac:dyDescent="0.25">
      <c r="A19" s="4">
        <v>2</v>
      </c>
      <c r="B19" s="88" t="s">
        <v>17</v>
      </c>
      <c r="C19" s="89"/>
      <c r="D19" s="90"/>
      <c r="E19" s="139">
        <v>35000</v>
      </c>
      <c r="F19" s="140"/>
    </row>
    <row r="20" spans="1:6" x14ac:dyDescent="0.25">
      <c r="A20" s="130" t="s">
        <v>18</v>
      </c>
      <c r="B20" s="131"/>
      <c r="C20" s="131"/>
      <c r="D20" s="131"/>
      <c r="E20" s="150">
        <f>SUM(E18:F19)</f>
        <v>166000</v>
      </c>
      <c r="F20" s="151"/>
    </row>
    <row r="21" spans="1:6" x14ac:dyDescent="0.25">
      <c r="A21" s="142" t="s">
        <v>19</v>
      </c>
      <c r="B21" s="142"/>
      <c r="C21" s="142"/>
      <c r="D21" s="142"/>
      <c r="E21" s="142"/>
      <c r="F21" s="142"/>
    </row>
    <row r="22" spans="1:6" ht="15" customHeight="1" x14ac:dyDescent="0.25">
      <c r="A22" s="6">
        <v>3</v>
      </c>
      <c r="B22" s="152" t="s">
        <v>12</v>
      </c>
      <c r="C22" s="152"/>
      <c r="D22" s="152"/>
      <c r="E22" s="148">
        <v>95000</v>
      </c>
      <c r="F22" s="148"/>
    </row>
    <row r="23" spans="1:6" ht="30" customHeight="1" x14ac:dyDescent="0.25">
      <c r="A23" s="6">
        <v>4</v>
      </c>
      <c r="B23" s="152" t="s">
        <v>91</v>
      </c>
      <c r="C23" s="152"/>
      <c r="D23" s="152"/>
      <c r="E23" s="148">
        <v>105000</v>
      </c>
      <c r="F23" s="148"/>
    </row>
    <row r="24" spans="1:6" x14ac:dyDescent="0.25">
      <c r="A24" s="6"/>
      <c r="B24" s="136" t="s">
        <v>92</v>
      </c>
      <c r="C24" s="137"/>
      <c r="D24" s="138"/>
      <c r="E24" s="139">
        <f>6662734/1000</f>
        <v>6662.7340000000004</v>
      </c>
      <c r="F24" s="140"/>
    </row>
    <row r="25" spans="1:6" x14ac:dyDescent="0.25">
      <c r="A25" s="142" t="s">
        <v>13</v>
      </c>
      <c r="B25" s="142"/>
      <c r="C25" s="142"/>
      <c r="D25" s="142"/>
      <c r="E25" s="153">
        <f>SUM(E22:F24)</f>
        <v>206662.734</v>
      </c>
      <c r="F25" s="153"/>
    </row>
    <row r="26" spans="1:6" x14ac:dyDescent="0.25">
      <c r="A26" s="142" t="s">
        <v>14</v>
      </c>
      <c r="B26" s="142"/>
      <c r="C26" s="142"/>
      <c r="D26" s="142"/>
      <c r="E26" s="142"/>
      <c r="F26" s="142"/>
    </row>
    <row r="27" spans="1:6" x14ac:dyDescent="0.25">
      <c r="A27" s="141" t="s">
        <v>9</v>
      </c>
      <c r="B27" s="141"/>
      <c r="C27" s="141"/>
      <c r="D27" s="141"/>
      <c r="E27" s="141"/>
      <c r="F27" s="141"/>
    </row>
    <row r="28" spans="1:6" x14ac:dyDescent="0.25">
      <c r="A28" s="3">
        <v>5</v>
      </c>
      <c r="B28" s="133" t="s">
        <v>114</v>
      </c>
      <c r="C28" s="134"/>
      <c r="D28" s="135"/>
      <c r="E28" s="91"/>
      <c r="F28" s="92"/>
    </row>
    <row r="29" spans="1:6" x14ac:dyDescent="0.25">
      <c r="A29" s="3" t="s">
        <v>10</v>
      </c>
      <c r="B29" s="88" t="s">
        <v>97</v>
      </c>
      <c r="C29" s="89"/>
      <c r="D29" s="90"/>
      <c r="E29" s="93">
        <v>18847</v>
      </c>
      <c r="F29" s="94"/>
    </row>
    <row r="30" spans="1:6" x14ac:dyDescent="0.25">
      <c r="A30" s="3" t="s">
        <v>11</v>
      </c>
      <c r="B30" s="88" t="s">
        <v>98</v>
      </c>
      <c r="C30" s="89"/>
      <c r="D30" s="90"/>
      <c r="E30" s="93">
        <v>4353</v>
      </c>
      <c r="F30" s="94"/>
    </row>
    <row r="31" spans="1:6" x14ac:dyDescent="0.25">
      <c r="A31" s="3" t="s">
        <v>57</v>
      </c>
      <c r="B31" s="133" t="s">
        <v>115</v>
      </c>
      <c r="C31" s="134"/>
      <c r="D31" s="135"/>
      <c r="E31" s="93"/>
      <c r="F31" s="94"/>
    </row>
    <row r="32" spans="1:6" x14ac:dyDescent="0.25">
      <c r="A32" s="3" t="s">
        <v>58</v>
      </c>
      <c r="B32" s="88" t="s">
        <v>99</v>
      </c>
      <c r="C32" s="89"/>
      <c r="D32" s="90"/>
      <c r="E32" s="95">
        <v>9370</v>
      </c>
      <c r="F32" s="96"/>
    </row>
    <row r="33" spans="1:6" x14ac:dyDescent="0.25">
      <c r="A33" s="3" t="s">
        <v>59</v>
      </c>
      <c r="B33" s="88" t="s">
        <v>100</v>
      </c>
      <c r="C33" s="89"/>
      <c r="D33" s="90"/>
      <c r="E33" s="95">
        <v>54420</v>
      </c>
      <c r="F33" s="96"/>
    </row>
    <row r="34" spans="1:6" ht="30" customHeight="1" x14ac:dyDescent="0.25">
      <c r="A34" s="3" t="s">
        <v>60</v>
      </c>
      <c r="B34" s="88" t="s">
        <v>101</v>
      </c>
      <c r="C34" s="89"/>
      <c r="D34" s="90"/>
      <c r="E34" s="95">
        <v>19680</v>
      </c>
      <c r="F34" s="96"/>
    </row>
    <row r="35" spans="1:6" x14ac:dyDescent="0.25">
      <c r="A35" s="3" t="s">
        <v>61</v>
      </c>
      <c r="B35" s="88" t="s">
        <v>102</v>
      </c>
      <c r="C35" s="89"/>
      <c r="D35" s="90"/>
      <c r="E35" s="95">
        <v>4848</v>
      </c>
      <c r="F35" s="96"/>
    </row>
    <row r="36" spans="1:6" x14ac:dyDescent="0.25">
      <c r="A36" s="3" t="s">
        <v>62</v>
      </c>
      <c r="B36" s="88" t="s">
        <v>103</v>
      </c>
      <c r="C36" s="89"/>
      <c r="D36" s="90"/>
      <c r="E36" s="95">
        <v>32301</v>
      </c>
      <c r="F36" s="96"/>
    </row>
    <row r="37" spans="1:6" ht="30" customHeight="1" x14ac:dyDescent="0.25">
      <c r="A37" s="3" t="s">
        <v>63</v>
      </c>
      <c r="B37" s="88" t="s">
        <v>104</v>
      </c>
      <c r="C37" s="89"/>
      <c r="D37" s="90"/>
      <c r="E37" s="95">
        <v>12052</v>
      </c>
      <c r="F37" s="96"/>
    </row>
    <row r="38" spans="1:6" ht="30" customHeight="1" x14ac:dyDescent="0.25">
      <c r="A38" s="3" t="s">
        <v>64</v>
      </c>
      <c r="B38" s="88" t="s">
        <v>105</v>
      </c>
      <c r="C38" s="89"/>
      <c r="D38" s="90"/>
      <c r="E38" s="95">
        <v>20907</v>
      </c>
      <c r="F38" s="96"/>
    </row>
    <row r="39" spans="1:6" x14ac:dyDescent="0.25">
      <c r="A39" s="3" t="s">
        <v>65</v>
      </c>
      <c r="B39" s="88" t="s">
        <v>106</v>
      </c>
      <c r="C39" s="89"/>
      <c r="D39" s="90"/>
      <c r="E39" s="95">
        <v>20000</v>
      </c>
      <c r="F39" s="96"/>
    </row>
    <row r="40" spans="1:6" x14ac:dyDescent="0.25">
      <c r="A40" s="3" t="s">
        <v>66</v>
      </c>
      <c r="B40" s="88" t="s">
        <v>107</v>
      </c>
      <c r="C40" s="89"/>
      <c r="D40" s="90"/>
      <c r="E40" s="95">
        <v>5700</v>
      </c>
      <c r="F40" s="96"/>
    </row>
    <row r="41" spans="1:6" x14ac:dyDescent="0.25">
      <c r="A41" s="3" t="s">
        <v>67</v>
      </c>
      <c r="B41" s="88" t="s">
        <v>108</v>
      </c>
      <c r="C41" s="89"/>
      <c r="D41" s="90"/>
      <c r="E41" s="95">
        <v>24130</v>
      </c>
      <c r="F41" s="96"/>
    </row>
    <row r="42" spans="1:6" x14ac:dyDescent="0.25">
      <c r="A42" s="3" t="s">
        <v>68</v>
      </c>
      <c r="B42" s="88" t="s">
        <v>109</v>
      </c>
      <c r="C42" s="89"/>
      <c r="D42" s="90"/>
      <c r="E42" s="95">
        <v>30000</v>
      </c>
      <c r="F42" s="96"/>
    </row>
    <row r="43" spans="1:6" ht="45" customHeight="1" x14ac:dyDescent="0.25">
      <c r="A43" s="3" t="s">
        <v>69</v>
      </c>
      <c r="B43" s="133" t="s">
        <v>110</v>
      </c>
      <c r="C43" s="134"/>
      <c r="D43" s="135"/>
      <c r="E43" s="93">
        <v>19980.633000000002</v>
      </c>
      <c r="F43" s="94"/>
    </row>
    <row r="44" spans="1:6" ht="30" customHeight="1" x14ac:dyDescent="0.25">
      <c r="A44" s="3" t="s">
        <v>70</v>
      </c>
      <c r="B44" s="88" t="s">
        <v>111</v>
      </c>
      <c r="C44" s="89"/>
      <c r="D44" s="90"/>
      <c r="E44" s="95">
        <v>2700</v>
      </c>
      <c r="F44" s="96"/>
    </row>
    <row r="45" spans="1:6" ht="30" customHeight="1" x14ac:dyDescent="0.25">
      <c r="A45" s="3" t="s">
        <v>71</v>
      </c>
      <c r="B45" s="88" t="s">
        <v>112</v>
      </c>
      <c r="C45" s="89"/>
      <c r="D45" s="90"/>
      <c r="E45" s="95">
        <v>4945</v>
      </c>
      <c r="F45" s="96"/>
    </row>
    <row r="46" spans="1:6" x14ac:dyDescent="0.25">
      <c r="A46" s="3" t="s">
        <v>72</v>
      </c>
      <c r="B46" s="88" t="s">
        <v>113</v>
      </c>
      <c r="C46" s="89"/>
      <c r="D46" s="90"/>
      <c r="E46" s="95">
        <v>860</v>
      </c>
      <c r="F46" s="96"/>
    </row>
    <row r="47" spans="1:6" x14ac:dyDescent="0.25">
      <c r="A47" s="3" t="s">
        <v>73</v>
      </c>
      <c r="B47" s="88" t="s">
        <v>50</v>
      </c>
      <c r="C47" s="89"/>
      <c r="D47" s="90"/>
      <c r="E47" s="95">
        <v>13846</v>
      </c>
      <c r="F47" s="96"/>
    </row>
    <row r="48" spans="1:6" x14ac:dyDescent="0.25">
      <c r="A48" s="3" t="s">
        <v>74</v>
      </c>
      <c r="B48" s="88" t="s">
        <v>51</v>
      </c>
      <c r="C48" s="89"/>
      <c r="D48" s="90"/>
      <c r="E48" s="95">
        <v>4930</v>
      </c>
      <c r="F48" s="96"/>
    </row>
    <row r="49" spans="1:6" x14ac:dyDescent="0.25">
      <c r="A49" s="6">
        <v>7</v>
      </c>
      <c r="B49" s="114" t="s">
        <v>53</v>
      </c>
      <c r="C49" s="115"/>
      <c r="D49" s="116"/>
      <c r="E49" s="95"/>
      <c r="F49" s="96"/>
    </row>
    <row r="50" spans="1:6" ht="30" customHeight="1" x14ac:dyDescent="0.25">
      <c r="A50" s="3" t="s">
        <v>75</v>
      </c>
      <c r="B50" s="103" t="s">
        <v>116</v>
      </c>
      <c r="C50" s="104"/>
      <c r="D50" s="105"/>
      <c r="E50" s="95">
        <v>46080</v>
      </c>
      <c r="F50" s="96"/>
    </row>
    <row r="51" spans="1:6" x14ac:dyDescent="0.25">
      <c r="A51" s="3" t="s">
        <v>76</v>
      </c>
      <c r="B51" s="103" t="s">
        <v>117</v>
      </c>
      <c r="C51" s="104"/>
      <c r="D51" s="105"/>
      <c r="E51" s="95">
        <v>2300</v>
      </c>
      <c r="F51" s="96"/>
    </row>
    <row r="52" spans="1:6" x14ac:dyDescent="0.25">
      <c r="A52" s="3" t="s">
        <v>77</v>
      </c>
      <c r="B52" s="103" t="s">
        <v>118</v>
      </c>
      <c r="C52" s="104"/>
      <c r="D52" s="105"/>
      <c r="E52" s="95">
        <v>320</v>
      </c>
      <c r="F52" s="96"/>
    </row>
    <row r="53" spans="1:6" x14ac:dyDescent="0.25">
      <c r="A53" s="3"/>
      <c r="B53" s="121" t="s">
        <v>20</v>
      </c>
      <c r="C53" s="122"/>
      <c r="D53" s="123"/>
      <c r="E53" s="112">
        <f>SUM(E28:F52)</f>
        <v>352569.63300000003</v>
      </c>
      <c r="F53" s="113"/>
    </row>
    <row r="54" spans="1:6" ht="30" customHeight="1" x14ac:dyDescent="0.25">
      <c r="A54" s="3" t="s">
        <v>119</v>
      </c>
      <c r="B54" s="114" t="s">
        <v>52</v>
      </c>
      <c r="C54" s="115"/>
      <c r="D54" s="116"/>
      <c r="E54" s="95"/>
      <c r="F54" s="96"/>
    </row>
    <row r="55" spans="1:6" ht="30" customHeight="1" x14ac:dyDescent="0.25">
      <c r="A55" s="3" t="s">
        <v>78</v>
      </c>
      <c r="B55" s="117" t="s">
        <v>120</v>
      </c>
      <c r="C55" s="118"/>
      <c r="D55" s="119"/>
      <c r="E55" s="95"/>
      <c r="F55" s="96"/>
    </row>
    <row r="56" spans="1:6" x14ac:dyDescent="0.25">
      <c r="A56" s="3" t="s">
        <v>121</v>
      </c>
      <c r="B56" s="88" t="s">
        <v>83</v>
      </c>
      <c r="C56" s="89"/>
      <c r="D56" s="90"/>
      <c r="E56" s="95">
        <v>91.88</v>
      </c>
      <c r="F56" s="96"/>
    </row>
    <row r="57" spans="1:6" x14ac:dyDescent="0.25">
      <c r="A57" s="3" t="s">
        <v>122</v>
      </c>
      <c r="B57" s="88" t="s">
        <v>84</v>
      </c>
      <c r="C57" s="89"/>
      <c r="D57" s="90"/>
      <c r="E57" s="95">
        <v>119.74</v>
      </c>
      <c r="F57" s="96"/>
    </row>
    <row r="58" spans="1:6" ht="30" customHeight="1" x14ac:dyDescent="0.25">
      <c r="A58" s="3" t="s">
        <v>79</v>
      </c>
      <c r="B58" s="133" t="s">
        <v>123</v>
      </c>
      <c r="C58" s="134"/>
      <c r="D58" s="135"/>
      <c r="E58" s="95"/>
      <c r="F58" s="96"/>
    </row>
    <row r="59" spans="1:6" x14ac:dyDescent="0.25">
      <c r="A59" s="3" t="s">
        <v>124</v>
      </c>
      <c r="B59" s="88" t="s">
        <v>94</v>
      </c>
      <c r="C59" s="89"/>
      <c r="D59" s="90"/>
      <c r="E59" s="95">
        <v>789.96</v>
      </c>
      <c r="F59" s="96"/>
    </row>
    <row r="60" spans="1:6" x14ac:dyDescent="0.25">
      <c r="A60" s="3" t="s">
        <v>125</v>
      </c>
      <c r="B60" s="88" t="s">
        <v>95</v>
      </c>
      <c r="C60" s="89"/>
      <c r="D60" s="90"/>
      <c r="E60" s="95">
        <v>354.2</v>
      </c>
      <c r="F60" s="96"/>
    </row>
    <row r="61" spans="1:6" ht="30" customHeight="1" x14ac:dyDescent="0.25">
      <c r="A61" s="3" t="s">
        <v>80</v>
      </c>
      <c r="B61" s="133" t="s">
        <v>126</v>
      </c>
      <c r="C61" s="134"/>
      <c r="D61" s="135"/>
      <c r="E61" s="95"/>
      <c r="F61" s="96"/>
    </row>
    <row r="62" spans="1:6" x14ac:dyDescent="0.25">
      <c r="A62" s="3" t="s">
        <v>127</v>
      </c>
      <c r="B62" s="88" t="s">
        <v>96</v>
      </c>
      <c r="C62" s="89"/>
      <c r="D62" s="90"/>
      <c r="E62" s="93">
        <v>1468.04</v>
      </c>
      <c r="F62" s="94"/>
    </row>
    <row r="63" spans="1:6" x14ac:dyDescent="0.25">
      <c r="A63" s="3" t="s">
        <v>128</v>
      </c>
      <c r="B63" s="103" t="s">
        <v>86</v>
      </c>
      <c r="C63" s="104"/>
      <c r="D63" s="105"/>
      <c r="E63" s="95">
        <v>235.52</v>
      </c>
      <c r="F63" s="96"/>
    </row>
    <row r="64" spans="1:6" x14ac:dyDescent="0.25">
      <c r="A64" s="3" t="s">
        <v>129</v>
      </c>
      <c r="B64" s="103" t="s">
        <v>132</v>
      </c>
      <c r="C64" s="104"/>
      <c r="D64" s="105"/>
      <c r="E64" s="95">
        <v>188.12</v>
      </c>
      <c r="F64" s="96"/>
    </row>
    <row r="65" spans="1:6" x14ac:dyDescent="0.25">
      <c r="A65" s="3" t="s">
        <v>130</v>
      </c>
      <c r="B65" s="103" t="s">
        <v>87</v>
      </c>
      <c r="C65" s="104"/>
      <c r="D65" s="105"/>
      <c r="E65" s="95">
        <v>228.75</v>
      </c>
      <c r="F65" s="96"/>
    </row>
    <row r="66" spans="1:6" x14ac:dyDescent="0.25">
      <c r="A66" s="3" t="s">
        <v>131</v>
      </c>
      <c r="B66" s="103" t="s">
        <v>133</v>
      </c>
      <c r="C66" s="104"/>
      <c r="D66" s="105"/>
      <c r="E66" s="95">
        <v>667.75</v>
      </c>
      <c r="F66" s="96"/>
    </row>
    <row r="67" spans="1:6" x14ac:dyDescent="0.25">
      <c r="A67" s="3" t="s">
        <v>81</v>
      </c>
      <c r="B67" s="106" t="s">
        <v>85</v>
      </c>
      <c r="C67" s="107"/>
      <c r="D67" s="108"/>
      <c r="E67" s="95">
        <v>24954</v>
      </c>
      <c r="F67" s="96"/>
    </row>
    <row r="68" spans="1:6" x14ac:dyDescent="0.25">
      <c r="A68" s="3"/>
      <c r="B68" s="130" t="s">
        <v>20</v>
      </c>
      <c r="C68" s="131"/>
      <c r="D68" s="132"/>
      <c r="E68" s="91">
        <f>SUM(E54:F67)</f>
        <v>29097.96</v>
      </c>
      <c r="F68" s="92"/>
    </row>
    <row r="69" spans="1:6" x14ac:dyDescent="0.25">
      <c r="A69" s="109" t="s">
        <v>54</v>
      </c>
      <c r="B69" s="110"/>
      <c r="C69" s="110"/>
      <c r="D69" s="111"/>
      <c r="E69" s="91"/>
      <c r="F69" s="92"/>
    </row>
    <row r="70" spans="1:6" ht="45" customHeight="1" x14ac:dyDescent="0.25">
      <c r="A70" s="6">
        <v>9</v>
      </c>
      <c r="B70" s="97" t="s">
        <v>134</v>
      </c>
      <c r="C70" s="98"/>
      <c r="D70" s="99"/>
      <c r="E70" s="95">
        <v>58020</v>
      </c>
      <c r="F70" s="96"/>
    </row>
    <row r="71" spans="1:6" x14ac:dyDescent="0.25">
      <c r="A71" s="100" t="s">
        <v>55</v>
      </c>
      <c r="B71" s="101"/>
      <c r="C71" s="101"/>
      <c r="D71" s="102"/>
      <c r="E71" s="91"/>
      <c r="F71" s="92"/>
    </row>
    <row r="72" spans="1:6" x14ac:dyDescent="0.25">
      <c r="A72" s="6">
        <v>10</v>
      </c>
      <c r="B72" s="103" t="s">
        <v>135</v>
      </c>
      <c r="C72" s="104"/>
      <c r="D72" s="105"/>
      <c r="E72" s="95">
        <v>3016.489</v>
      </c>
      <c r="F72" s="96"/>
    </row>
    <row r="73" spans="1:6" x14ac:dyDescent="0.25">
      <c r="A73" s="3" t="s">
        <v>82</v>
      </c>
      <c r="B73" s="97" t="s">
        <v>136</v>
      </c>
      <c r="C73" s="98"/>
      <c r="D73" s="99"/>
      <c r="E73" s="95">
        <v>9560.6790000000001</v>
      </c>
      <c r="F73" s="96"/>
    </row>
    <row r="74" spans="1:6" ht="15" customHeight="1" x14ac:dyDescent="0.25">
      <c r="A74" s="100" t="s">
        <v>137</v>
      </c>
      <c r="B74" s="101"/>
      <c r="C74" s="101"/>
      <c r="D74" s="102"/>
      <c r="E74" s="95"/>
      <c r="F74" s="96"/>
    </row>
    <row r="75" spans="1:6" x14ac:dyDescent="0.25">
      <c r="A75" s="6">
        <v>11</v>
      </c>
      <c r="B75" s="97" t="s">
        <v>56</v>
      </c>
      <c r="C75" s="98"/>
      <c r="D75" s="99"/>
      <c r="E75" s="95">
        <v>22553.339</v>
      </c>
      <c r="F75" s="96"/>
    </row>
    <row r="76" spans="1:6" x14ac:dyDescent="0.25">
      <c r="A76" s="6"/>
      <c r="B76" s="88"/>
      <c r="C76" s="89"/>
      <c r="D76" s="90"/>
      <c r="E76" s="93"/>
      <c r="F76" s="94"/>
    </row>
    <row r="77" spans="1:6" x14ac:dyDescent="0.25">
      <c r="A77" s="100" t="s">
        <v>138</v>
      </c>
      <c r="B77" s="101"/>
      <c r="C77" s="101"/>
      <c r="D77" s="102"/>
      <c r="E77" s="91"/>
      <c r="F77" s="92"/>
    </row>
    <row r="78" spans="1:6" x14ac:dyDescent="0.25">
      <c r="A78" s="6">
        <v>12</v>
      </c>
      <c r="B78" s="103" t="s">
        <v>139</v>
      </c>
      <c r="C78" s="104"/>
      <c r="D78" s="105"/>
      <c r="E78" s="95">
        <v>6751.9</v>
      </c>
      <c r="F78" s="96"/>
    </row>
    <row r="79" spans="1:6" ht="15" customHeight="1" x14ac:dyDescent="0.25">
      <c r="A79" s="6">
        <v>13</v>
      </c>
      <c r="B79" s="97" t="s">
        <v>140</v>
      </c>
      <c r="C79" s="98"/>
      <c r="D79" s="99"/>
      <c r="E79" s="95">
        <v>920</v>
      </c>
      <c r="F79" s="96"/>
    </row>
    <row r="80" spans="1:6" x14ac:dyDescent="0.25">
      <c r="A80" s="100" t="s">
        <v>149</v>
      </c>
      <c r="B80" s="101"/>
      <c r="C80" s="101"/>
      <c r="D80" s="102"/>
      <c r="E80" s="95"/>
      <c r="F80" s="96"/>
    </row>
    <row r="81" spans="1:8" x14ac:dyDescent="0.25">
      <c r="A81" s="6">
        <v>14</v>
      </c>
      <c r="B81" s="97" t="s">
        <v>141</v>
      </c>
      <c r="C81" s="98"/>
      <c r="D81" s="99"/>
      <c r="E81" s="95">
        <v>7510</v>
      </c>
      <c r="F81" s="96"/>
    </row>
    <row r="82" spans="1:8" x14ac:dyDescent="0.25">
      <c r="A82" s="3"/>
      <c r="B82" s="121" t="s">
        <v>20</v>
      </c>
      <c r="C82" s="122"/>
      <c r="D82" s="123"/>
      <c r="E82" s="91">
        <f>SUM(E69:F81)</f>
        <v>108332.40700000001</v>
      </c>
      <c r="F82" s="92"/>
    </row>
    <row r="83" spans="1:8" x14ac:dyDescent="0.25">
      <c r="A83" s="3"/>
      <c r="B83" s="121" t="s">
        <v>150</v>
      </c>
      <c r="C83" s="122"/>
      <c r="D83" s="123"/>
      <c r="E83" s="120">
        <f>SUM(E69:F81)+E68+E53</f>
        <v>490000</v>
      </c>
      <c r="F83" s="120"/>
    </row>
    <row r="84" spans="1:8" x14ac:dyDescent="0.25">
      <c r="A84" s="3"/>
      <c r="B84" s="129" t="s">
        <v>90</v>
      </c>
      <c r="C84" s="103" t="s">
        <v>12</v>
      </c>
      <c r="D84" s="105"/>
      <c r="E84" s="120">
        <f>E53+E82</f>
        <v>460902.04000000004</v>
      </c>
      <c r="F84" s="120"/>
    </row>
    <row r="85" spans="1:8" ht="30" customHeight="1" x14ac:dyDescent="0.25">
      <c r="A85" s="3"/>
      <c r="B85" s="129"/>
      <c r="C85" s="97" t="s">
        <v>17</v>
      </c>
      <c r="D85" s="99"/>
      <c r="E85" s="91">
        <f>E68</f>
        <v>29097.96</v>
      </c>
      <c r="F85" s="92"/>
      <c r="G85" s="9"/>
      <c r="H85" s="7"/>
    </row>
    <row r="86" spans="1:8" ht="30" customHeight="1" x14ac:dyDescent="0.25">
      <c r="A86" s="109" t="s">
        <v>142</v>
      </c>
      <c r="B86" s="110"/>
      <c r="C86" s="110"/>
      <c r="D86" s="110"/>
      <c r="E86" s="110"/>
      <c r="F86" s="111"/>
    </row>
    <row r="87" spans="1:8" x14ac:dyDescent="0.25">
      <c r="A87" s="6">
        <v>15</v>
      </c>
      <c r="B87" s="88" t="s">
        <v>143</v>
      </c>
      <c r="C87" s="89"/>
      <c r="D87" s="90"/>
      <c r="E87" s="127">
        <v>14880</v>
      </c>
      <c r="F87" s="128"/>
    </row>
    <row r="88" spans="1:8" x14ac:dyDescent="0.25">
      <c r="A88" s="6">
        <v>16</v>
      </c>
      <c r="B88" s="124" t="s">
        <v>144</v>
      </c>
      <c r="C88" s="125"/>
      <c r="D88" s="126"/>
      <c r="E88" s="127">
        <v>3200</v>
      </c>
      <c r="F88" s="128"/>
    </row>
    <row r="89" spans="1:8" x14ac:dyDescent="0.25">
      <c r="A89" s="6">
        <v>17</v>
      </c>
      <c r="B89" s="88" t="s">
        <v>145</v>
      </c>
      <c r="C89" s="89"/>
      <c r="D89" s="90"/>
      <c r="E89" s="127">
        <v>965</v>
      </c>
      <c r="F89" s="128"/>
    </row>
    <row r="90" spans="1:8" x14ac:dyDescent="0.25">
      <c r="A90" s="6">
        <v>18</v>
      </c>
      <c r="B90" s="124" t="s">
        <v>146</v>
      </c>
      <c r="C90" s="125"/>
      <c r="D90" s="126"/>
      <c r="E90" s="127">
        <v>2600</v>
      </c>
      <c r="F90" s="128"/>
    </row>
    <row r="91" spans="1:8" x14ac:dyDescent="0.25">
      <c r="A91" s="6">
        <v>19</v>
      </c>
      <c r="B91" s="88" t="s">
        <v>147</v>
      </c>
      <c r="C91" s="89"/>
      <c r="D91" s="90"/>
      <c r="E91" s="127">
        <v>1804.2270000000001</v>
      </c>
      <c r="F91" s="128"/>
    </row>
    <row r="92" spans="1:8" x14ac:dyDescent="0.25">
      <c r="A92" s="6">
        <v>20</v>
      </c>
      <c r="B92" s="124" t="s">
        <v>148</v>
      </c>
      <c r="C92" s="125"/>
      <c r="D92" s="126"/>
      <c r="E92" s="127">
        <v>21550.773000000001</v>
      </c>
      <c r="F92" s="128"/>
    </row>
    <row r="93" spans="1:8" x14ac:dyDescent="0.25">
      <c r="A93" s="142" t="s">
        <v>15</v>
      </c>
      <c r="B93" s="142"/>
      <c r="C93" s="142"/>
      <c r="D93" s="142"/>
      <c r="E93" s="149">
        <f>E83+SUM(E87:F92)</f>
        <v>535000</v>
      </c>
      <c r="F93" s="149"/>
    </row>
    <row r="94" spans="1:8" x14ac:dyDescent="0.25">
      <c r="A94" s="142" t="s">
        <v>23</v>
      </c>
      <c r="B94" s="142"/>
      <c r="C94" s="142"/>
      <c r="D94" s="142"/>
      <c r="E94" s="142"/>
      <c r="F94" s="142"/>
    </row>
    <row r="95" spans="1:8" ht="30" customHeight="1" x14ac:dyDescent="0.25">
      <c r="A95" s="6">
        <v>23</v>
      </c>
      <c r="B95" s="88" t="s">
        <v>21</v>
      </c>
      <c r="C95" s="89"/>
      <c r="D95" s="90"/>
      <c r="E95" s="139">
        <v>395220</v>
      </c>
      <c r="F95" s="140"/>
    </row>
    <row r="96" spans="1:8" ht="30" customHeight="1" x14ac:dyDescent="0.25">
      <c r="A96" s="6">
        <v>24</v>
      </c>
      <c r="B96" s="124" t="s">
        <v>22</v>
      </c>
      <c r="C96" s="125"/>
      <c r="D96" s="126"/>
      <c r="E96" s="139">
        <v>780</v>
      </c>
      <c r="F96" s="140"/>
    </row>
    <row r="97" spans="1:7" x14ac:dyDescent="0.25">
      <c r="A97" s="142" t="s">
        <v>24</v>
      </c>
      <c r="B97" s="142"/>
      <c r="C97" s="142"/>
      <c r="D97" s="142"/>
      <c r="E97" s="153">
        <f>SUM(E95:F96)</f>
        <v>396000</v>
      </c>
      <c r="F97" s="153"/>
    </row>
    <row r="98" spans="1:7" x14ac:dyDescent="0.25">
      <c r="A98" s="142" t="s">
        <v>25</v>
      </c>
      <c r="B98" s="142"/>
      <c r="C98" s="142"/>
      <c r="D98" s="142"/>
      <c r="E98" s="142"/>
      <c r="F98" s="142"/>
    </row>
    <row r="99" spans="1:7" ht="30" customHeight="1" x14ac:dyDescent="0.25">
      <c r="A99" s="6">
        <v>25</v>
      </c>
      <c r="B99" s="88" t="s">
        <v>21</v>
      </c>
      <c r="C99" s="89"/>
      <c r="D99" s="90"/>
      <c r="E99" s="139">
        <v>360220</v>
      </c>
      <c r="F99" s="140"/>
    </row>
    <row r="100" spans="1:7" ht="30" customHeight="1" x14ac:dyDescent="0.25">
      <c r="A100" s="6">
        <v>26</v>
      </c>
      <c r="B100" s="124" t="s">
        <v>22</v>
      </c>
      <c r="C100" s="125"/>
      <c r="D100" s="126"/>
      <c r="E100" s="139">
        <v>780</v>
      </c>
      <c r="F100" s="140"/>
    </row>
    <row r="101" spans="1:7" x14ac:dyDescent="0.25">
      <c r="A101" s="142" t="s">
        <v>26</v>
      </c>
      <c r="B101" s="142"/>
      <c r="C101" s="142"/>
      <c r="D101" s="142"/>
      <c r="E101" s="153">
        <f>SUM(E99:F100)</f>
        <v>361000</v>
      </c>
      <c r="F101" s="153"/>
    </row>
    <row r="102" spans="1:7" x14ac:dyDescent="0.25">
      <c r="A102" s="142" t="s">
        <v>30</v>
      </c>
      <c r="B102" s="142"/>
      <c r="C102" s="142"/>
      <c r="D102" s="142"/>
      <c r="E102" s="142"/>
      <c r="F102" s="142"/>
    </row>
    <row r="103" spans="1:7" ht="30" customHeight="1" x14ac:dyDescent="0.25">
      <c r="A103" s="6">
        <v>27</v>
      </c>
      <c r="B103" s="88" t="s">
        <v>21</v>
      </c>
      <c r="C103" s="89"/>
      <c r="D103" s="90"/>
      <c r="E103" s="139">
        <v>374870.09499999997</v>
      </c>
      <c r="F103" s="140"/>
    </row>
    <row r="104" spans="1:7" ht="30" customHeight="1" x14ac:dyDescent="0.25">
      <c r="A104" s="6">
        <v>28</v>
      </c>
      <c r="B104" s="158" t="s">
        <v>22</v>
      </c>
      <c r="C104" s="159"/>
      <c r="D104" s="160"/>
      <c r="E104" s="139">
        <v>780</v>
      </c>
      <c r="F104" s="140"/>
    </row>
    <row r="105" spans="1:7" x14ac:dyDescent="0.25">
      <c r="A105" s="142" t="s">
        <v>27</v>
      </c>
      <c r="B105" s="142"/>
      <c r="C105" s="142"/>
      <c r="D105" s="142"/>
      <c r="E105" s="153">
        <f>SUM(E103:F104)</f>
        <v>375650.09499999997</v>
      </c>
      <c r="F105" s="153"/>
    </row>
    <row r="107" spans="1:7" x14ac:dyDescent="0.25">
      <c r="A107" s="156" t="s">
        <v>28</v>
      </c>
      <c r="B107" s="156"/>
      <c r="C107" s="156"/>
      <c r="D107" s="156"/>
      <c r="E107" s="157">
        <f>(E20+E25+E93+E97+E101+E105)*1000</f>
        <v>2040312829</v>
      </c>
      <c r="F107" s="157"/>
      <c r="G107" s="8"/>
    </row>
    <row r="108" spans="1:7" x14ac:dyDescent="0.25">
      <c r="A108" s="154" t="s">
        <v>29</v>
      </c>
      <c r="B108" s="154"/>
      <c r="C108" s="154"/>
      <c r="D108" s="154"/>
      <c r="E108" s="155">
        <f>E107-((E107*100)/118)</f>
        <v>311234160.35593224</v>
      </c>
      <c r="F108" s="155"/>
    </row>
    <row r="109" spans="1:7" ht="14.25" customHeight="1" x14ac:dyDescent="0.25"/>
    <row r="110" spans="1:7" hidden="1" x14ac:dyDescent="0.25"/>
    <row r="111" spans="1:7" ht="30" customHeight="1" x14ac:dyDescent="0.25">
      <c r="A111" s="147" t="s">
        <v>31</v>
      </c>
      <c r="B111" s="147"/>
      <c r="C111" s="147"/>
      <c r="D111" s="147"/>
      <c r="E111" s="147"/>
      <c r="F111" s="147"/>
    </row>
    <row r="113" spans="2:4" x14ac:dyDescent="0.25">
      <c r="B113" s="4" t="s">
        <v>32</v>
      </c>
      <c r="C113" s="166" t="s">
        <v>33</v>
      </c>
      <c r="D113" s="166"/>
    </row>
    <row r="114" spans="2:4" x14ac:dyDescent="0.25">
      <c r="B114" s="162">
        <v>2013</v>
      </c>
      <c r="C114" s="163"/>
      <c r="D114" s="164"/>
    </row>
    <row r="115" spans="2:4" x14ac:dyDescent="0.25">
      <c r="B115" s="4" t="s">
        <v>34</v>
      </c>
      <c r="C115" s="161">
        <v>5.63</v>
      </c>
      <c r="D115" s="161"/>
    </row>
    <row r="116" spans="2:4" x14ac:dyDescent="0.25">
      <c r="B116" s="4" t="s">
        <v>35</v>
      </c>
      <c r="C116" s="161">
        <v>4.09</v>
      </c>
      <c r="D116" s="161"/>
    </row>
    <row r="117" spans="2:4" x14ac:dyDescent="0.25">
      <c r="B117" s="4" t="s">
        <v>36</v>
      </c>
      <c r="C117" s="161">
        <v>6.02</v>
      </c>
      <c r="D117" s="161"/>
    </row>
    <row r="118" spans="2:4" x14ac:dyDescent="0.25">
      <c r="B118" s="162">
        <v>2014</v>
      </c>
      <c r="C118" s="163"/>
      <c r="D118" s="164"/>
    </row>
    <row r="119" spans="2:4" x14ac:dyDescent="0.25">
      <c r="B119" s="4" t="s">
        <v>34</v>
      </c>
      <c r="C119" s="161">
        <v>6.03</v>
      </c>
      <c r="D119" s="161"/>
    </row>
    <row r="120" spans="2:4" x14ac:dyDescent="0.25">
      <c r="B120" s="4" t="s">
        <v>35</v>
      </c>
      <c r="C120" s="161">
        <v>4.38</v>
      </c>
      <c r="D120" s="161"/>
    </row>
    <row r="121" spans="2:4" x14ac:dyDescent="0.25">
      <c r="B121" s="4" t="s">
        <v>36</v>
      </c>
      <c r="C121" s="161">
        <v>6.45</v>
      </c>
      <c r="D121" s="161"/>
    </row>
    <row r="122" spans="2:4" x14ac:dyDescent="0.25">
      <c r="B122" s="162">
        <v>2015</v>
      </c>
      <c r="C122" s="163"/>
      <c r="D122" s="164"/>
    </row>
    <row r="123" spans="2:4" x14ac:dyDescent="0.25">
      <c r="B123" s="4" t="s">
        <v>34</v>
      </c>
      <c r="C123" s="161">
        <v>6.44</v>
      </c>
      <c r="D123" s="161"/>
    </row>
    <row r="124" spans="2:4" x14ac:dyDescent="0.25">
      <c r="B124" s="4" t="s">
        <v>35</v>
      </c>
      <c r="C124" s="161">
        <v>4.68</v>
      </c>
      <c r="D124" s="161"/>
    </row>
    <row r="125" spans="2:4" x14ac:dyDescent="0.25">
      <c r="B125" s="4" t="s">
        <v>36</v>
      </c>
      <c r="C125" s="161">
        <v>6.88</v>
      </c>
      <c r="D125" s="161"/>
    </row>
    <row r="126" spans="2:4" x14ac:dyDescent="0.25">
      <c r="B126" s="162">
        <v>2016</v>
      </c>
      <c r="C126" s="163"/>
      <c r="D126" s="164"/>
    </row>
    <row r="127" spans="2:4" x14ac:dyDescent="0.25">
      <c r="B127" s="4" t="s">
        <v>34</v>
      </c>
      <c r="C127" s="161">
        <v>6.83</v>
      </c>
      <c r="D127" s="161"/>
    </row>
    <row r="128" spans="2:4" x14ac:dyDescent="0.25">
      <c r="B128" s="4" t="s">
        <v>35</v>
      </c>
      <c r="C128" s="161">
        <v>4.96</v>
      </c>
      <c r="D128" s="161"/>
    </row>
    <row r="129" spans="1:6" x14ac:dyDescent="0.25">
      <c r="B129" s="4" t="s">
        <v>36</v>
      </c>
      <c r="C129" s="161">
        <v>7.3</v>
      </c>
      <c r="D129" s="161"/>
    </row>
    <row r="130" spans="1:6" x14ac:dyDescent="0.25">
      <c r="B130" s="162">
        <v>2017</v>
      </c>
      <c r="C130" s="163"/>
      <c r="D130" s="164"/>
    </row>
    <row r="131" spans="1:6" x14ac:dyDescent="0.25">
      <c r="B131" s="4" t="s">
        <v>34</v>
      </c>
      <c r="C131" s="161">
        <v>7.18</v>
      </c>
      <c r="D131" s="161"/>
    </row>
    <row r="132" spans="1:6" x14ac:dyDescent="0.25">
      <c r="B132" s="4" t="s">
        <v>35</v>
      </c>
      <c r="C132" s="161">
        <v>5.22</v>
      </c>
      <c r="D132" s="161"/>
    </row>
    <row r="133" spans="1:6" x14ac:dyDescent="0.25">
      <c r="B133" s="4" t="s">
        <v>36</v>
      </c>
      <c r="C133" s="161">
        <v>7.68</v>
      </c>
      <c r="D133" s="161"/>
    </row>
    <row r="135" spans="1:6" x14ac:dyDescent="0.25">
      <c r="A135" s="165" t="s">
        <v>37</v>
      </c>
      <c r="B135" s="165"/>
      <c r="C135" s="165"/>
      <c r="D135" s="165"/>
      <c r="E135" s="165"/>
      <c r="F135" s="165"/>
    </row>
    <row r="136" spans="1:6" hidden="1" x14ac:dyDescent="0.25"/>
    <row r="137" spans="1:6" x14ac:dyDescent="0.25">
      <c r="A137" s="145" t="s">
        <v>38</v>
      </c>
      <c r="B137" s="145"/>
      <c r="C137" s="145"/>
      <c r="D137" s="145"/>
      <c r="E137" s="145"/>
      <c r="F137" s="145"/>
    </row>
    <row r="138" spans="1:6" x14ac:dyDescent="0.25">
      <c r="A138" s="145" t="s">
        <v>39</v>
      </c>
      <c r="B138" s="145"/>
      <c r="C138" s="145"/>
      <c r="D138" s="145"/>
      <c r="E138" s="145"/>
      <c r="F138" s="145"/>
    </row>
    <row r="139" spans="1:6" x14ac:dyDescent="0.25">
      <c r="A139" s="145" t="s">
        <v>40</v>
      </c>
      <c r="B139" s="145"/>
      <c r="C139" s="145"/>
      <c r="D139" s="145"/>
      <c r="E139" s="145"/>
      <c r="F139" s="145"/>
    </row>
    <row r="140" spans="1:6" x14ac:dyDescent="0.25">
      <c r="A140" s="145" t="s">
        <v>41</v>
      </c>
      <c r="B140" s="145"/>
      <c r="C140" s="145"/>
      <c r="D140" s="145"/>
      <c r="E140" s="145"/>
      <c r="F140" s="145"/>
    </row>
    <row r="141" spans="1:6" x14ac:dyDescent="0.25">
      <c r="A141" s="145" t="s">
        <v>42</v>
      </c>
      <c r="B141" s="145"/>
      <c r="C141" s="145"/>
      <c r="D141" s="145"/>
      <c r="E141" s="145"/>
      <c r="F141" s="145"/>
    </row>
    <row r="142" spans="1:6" x14ac:dyDescent="0.25">
      <c r="A142" s="145" t="s">
        <v>43</v>
      </c>
      <c r="B142" s="145"/>
      <c r="C142" s="145"/>
      <c r="D142" s="145"/>
      <c r="E142" s="145"/>
      <c r="F142" s="145"/>
    </row>
    <row r="144" spans="1:6" ht="15" customHeight="1" x14ac:dyDescent="0.25">
      <c r="D144" s="5" t="s">
        <v>45</v>
      </c>
      <c r="E144" s="145" t="s">
        <v>44</v>
      </c>
      <c r="F144" s="145"/>
    </row>
    <row r="145" spans="1:6" hidden="1" x14ac:dyDescent="0.25"/>
    <row r="146" spans="1:6" x14ac:dyDescent="0.25">
      <c r="A146" s="145" t="s">
        <v>46</v>
      </c>
      <c r="B146" s="145"/>
      <c r="C146" s="145"/>
      <c r="D146" s="145"/>
      <c r="E146" s="145"/>
      <c r="F146" s="145"/>
    </row>
    <row r="147" spans="1:6" x14ac:dyDescent="0.25">
      <c r="A147" s="144" t="s">
        <v>47</v>
      </c>
      <c r="B147" s="144"/>
      <c r="C147" s="144"/>
      <c r="D147" s="144"/>
      <c r="E147" s="144"/>
      <c r="F147" s="144"/>
    </row>
    <row r="148" spans="1:6" x14ac:dyDescent="0.25">
      <c r="A148" s="145" t="s">
        <v>48</v>
      </c>
      <c r="B148" s="145"/>
      <c r="C148" s="145"/>
      <c r="D148" s="145"/>
      <c r="E148" s="145"/>
      <c r="F148" s="145"/>
    </row>
    <row r="149" spans="1:6" ht="30" x14ac:dyDescent="0.25">
      <c r="D149" s="5" t="s">
        <v>45</v>
      </c>
      <c r="E149" s="147" t="s">
        <v>49</v>
      </c>
      <c r="F149" s="147"/>
    </row>
  </sheetData>
  <mergeCells count="221">
    <mergeCell ref="E31:F31"/>
    <mergeCell ref="B28:D28"/>
    <mergeCell ref="B29:D29"/>
    <mergeCell ref="B35:D35"/>
    <mergeCell ref="A135:F135"/>
    <mergeCell ref="A137:F137"/>
    <mergeCell ref="A138:F138"/>
    <mergeCell ref="A139:F139"/>
    <mergeCell ref="A148:F148"/>
    <mergeCell ref="C119:D119"/>
    <mergeCell ref="A105:D105"/>
    <mergeCell ref="E95:F95"/>
    <mergeCell ref="E96:F96"/>
    <mergeCell ref="E99:F99"/>
    <mergeCell ref="E100:F100"/>
    <mergeCell ref="C113:D113"/>
    <mergeCell ref="C131:D131"/>
    <mergeCell ref="C132:D132"/>
    <mergeCell ref="A94:F94"/>
    <mergeCell ref="A111:F111"/>
    <mergeCell ref="E104:F104"/>
    <mergeCell ref="B95:D95"/>
    <mergeCell ref="B96:D96"/>
    <mergeCell ref="A102:F102"/>
    <mergeCell ref="E149:F149"/>
    <mergeCell ref="A140:F140"/>
    <mergeCell ref="A141:F141"/>
    <mergeCell ref="A142:F142"/>
    <mergeCell ref="E144:F144"/>
    <mergeCell ref="A146:F146"/>
    <mergeCell ref="A147:F147"/>
    <mergeCell ref="C133:D133"/>
    <mergeCell ref="B114:D114"/>
    <mergeCell ref="B118:D118"/>
    <mergeCell ref="B122:D122"/>
    <mergeCell ref="B126:D126"/>
    <mergeCell ref="B130:D130"/>
    <mergeCell ref="C127:D127"/>
    <mergeCell ref="C128:D128"/>
    <mergeCell ref="C129:D129"/>
    <mergeCell ref="C123:D123"/>
    <mergeCell ref="C124:D124"/>
    <mergeCell ref="C125:D125"/>
    <mergeCell ref="C120:D120"/>
    <mergeCell ref="C121:D121"/>
    <mergeCell ref="C115:D115"/>
    <mergeCell ref="C116:D116"/>
    <mergeCell ref="C117:D117"/>
    <mergeCell ref="E105:F105"/>
    <mergeCell ref="A108:D108"/>
    <mergeCell ref="E108:F108"/>
    <mergeCell ref="A97:D97"/>
    <mergeCell ref="E97:F97"/>
    <mergeCell ref="A98:F98"/>
    <mergeCell ref="A101:D101"/>
    <mergeCell ref="E101:F101"/>
    <mergeCell ref="B99:D99"/>
    <mergeCell ref="B100:D100"/>
    <mergeCell ref="A107:D107"/>
    <mergeCell ref="E107:F107"/>
    <mergeCell ref="E103:F103"/>
    <mergeCell ref="B103:D103"/>
    <mergeCell ref="B104:D104"/>
    <mergeCell ref="E22:F22"/>
    <mergeCell ref="C16:D16"/>
    <mergeCell ref="E16:F16"/>
    <mergeCell ref="E18:F18"/>
    <mergeCell ref="E19:F19"/>
    <mergeCell ref="A17:F17"/>
    <mergeCell ref="A21:F21"/>
    <mergeCell ref="A93:D93"/>
    <mergeCell ref="E93:F93"/>
    <mergeCell ref="B18:D18"/>
    <mergeCell ref="B19:D19"/>
    <mergeCell ref="A20:D20"/>
    <mergeCell ref="E20:F20"/>
    <mergeCell ref="B22:D22"/>
    <mergeCell ref="B23:D23"/>
    <mergeCell ref="A25:D25"/>
    <mergeCell ref="E25:F25"/>
    <mergeCell ref="E23:F23"/>
    <mergeCell ref="B36:D36"/>
    <mergeCell ref="B37:D37"/>
    <mergeCell ref="B38:D38"/>
    <mergeCell ref="B32:D32"/>
    <mergeCell ref="B33:D33"/>
    <mergeCell ref="B34:D34"/>
    <mergeCell ref="C15:D15"/>
    <mergeCell ref="D1:F1"/>
    <mergeCell ref="D2:F2"/>
    <mergeCell ref="D3:F3"/>
    <mergeCell ref="D4:F4"/>
    <mergeCell ref="A13:F13"/>
    <mergeCell ref="A10:F10"/>
    <mergeCell ref="A11:F11"/>
    <mergeCell ref="A12:F12"/>
    <mergeCell ref="E15:F15"/>
    <mergeCell ref="B24:D24"/>
    <mergeCell ref="E24:F24"/>
    <mergeCell ref="B41:D41"/>
    <mergeCell ref="B42:D42"/>
    <mergeCell ref="B43:D43"/>
    <mergeCell ref="B44:D44"/>
    <mergeCell ref="E38:F38"/>
    <mergeCell ref="E37:F37"/>
    <mergeCell ref="B40:D40"/>
    <mergeCell ref="E44:F44"/>
    <mergeCell ref="E43:F43"/>
    <mergeCell ref="E42:F42"/>
    <mergeCell ref="E41:F41"/>
    <mergeCell ref="E32:F32"/>
    <mergeCell ref="E35:F35"/>
    <mergeCell ref="E34:F34"/>
    <mergeCell ref="E36:F36"/>
    <mergeCell ref="A27:F27"/>
    <mergeCell ref="B31:D31"/>
    <mergeCell ref="A26:F26"/>
    <mergeCell ref="B39:D39"/>
    <mergeCell ref="E33:F33"/>
    <mergeCell ref="E40:F40"/>
    <mergeCell ref="E39:F39"/>
    <mergeCell ref="B56:D56"/>
    <mergeCell ref="B57:D57"/>
    <mergeCell ref="B58:D58"/>
    <mergeCell ref="B59:D59"/>
    <mergeCell ref="B60:D60"/>
    <mergeCell ref="B61:D61"/>
    <mergeCell ref="B62:D62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84:B85"/>
    <mergeCell ref="B83:D83"/>
    <mergeCell ref="E45:F45"/>
    <mergeCell ref="E62:F62"/>
    <mergeCell ref="E61:F61"/>
    <mergeCell ref="E60:F60"/>
    <mergeCell ref="E59:F59"/>
    <mergeCell ref="E58:F58"/>
    <mergeCell ref="E57:F57"/>
    <mergeCell ref="E56:F56"/>
    <mergeCell ref="E55:F55"/>
    <mergeCell ref="E54:F54"/>
    <mergeCell ref="E46:F46"/>
    <mergeCell ref="B63:D63"/>
    <mergeCell ref="B64:D64"/>
    <mergeCell ref="B65:D65"/>
    <mergeCell ref="B66:D66"/>
    <mergeCell ref="B68:D68"/>
    <mergeCell ref="E68:F68"/>
    <mergeCell ref="E66:F66"/>
    <mergeCell ref="E65:F65"/>
    <mergeCell ref="E67:F67"/>
    <mergeCell ref="E64:F64"/>
    <mergeCell ref="E63:F63"/>
    <mergeCell ref="B92:D92"/>
    <mergeCell ref="E87:F87"/>
    <mergeCell ref="E88:F88"/>
    <mergeCell ref="B87:D87"/>
    <mergeCell ref="B88:D88"/>
    <mergeCell ref="E89:F89"/>
    <mergeCell ref="E90:F90"/>
    <mergeCell ref="E91:F91"/>
    <mergeCell ref="E92:F92"/>
    <mergeCell ref="B89:D89"/>
    <mergeCell ref="B91:D91"/>
    <mergeCell ref="B90:D90"/>
    <mergeCell ref="A86:F86"/>
    <mergeCell ref="E84:F84"/>
    <mergeCell ref="A71:D71"/>
    <mergeCell ref="B70:D70"/>
    <mergeCell ref="B72:D72"/>
    <mergeCell ref="B73:D73"/>
    <mergeCell ref="B75:D75"/>
    <mergeCell ref="B76:D76"/>
    <mergeCell ref="E80:F80"/>
    <mergeCell ref="E70:F70"/>
    <mergeCell ref="E72:F72"/>
    <mergeCell ref="E83:F83"/>
    <mergeCell ref="E77:F77"/>
    <mergeCell ref="E73:F73"/>
    <mergeCell ref="E74:F74"/>
    <mergeCell ref="E75:F75"/>
    <mergeCell ref="E76:F76"/>
    <mergeCell ref="E78:F78"/>
    <mergeCell ref="E71:F71"/>
    <mergeCell ref="C84:D84"/>
    <mergeCell ref="C85:D85"/>
    <mergeCell ref="E85:F85"/>
    <mergeCell ref="B82:D82"/>
    <mergeCell ref="E82:F82"/>
    <mergeCell ref="B30:D30"/>
    <mergeCell ref="E28:F28"/>
    <mergeCell ref="E29:F29"/>
    <mergeCell ref="E81:F81"/>
    <mergeCell ref="B81:D81"/>
    <mergeCell ref="E79:F79"/>
    <mergeCell ref="A77:D77"/>
    <mergeCell ref="B78:D78"/>
    <mergeCell ref="E30:F30"/>
    <mergeCell ref="E69:F69"/>
    <mergeCell ref="A80:D80"/>
    <mergeCell ref="A74:D74"/>
    <mergeCell ref="B67:D67"/>
    <mergeCell ref="B79:D79"/>
    <mergeCell ref="A69:D69"/>
    <mergeCell ref="E53:F53"/>
    <mergeCell ref="E52:F52"/>
    <mergeCell ref="E51:F51"/>
    <mergeCell ref="E50:F50"/>
    <mergeCell ref="E49:F49"/>
    <mergeCell ref="E48:F48"/>
    <mergeCell ref="E47:F47"/>
    <mergeCell ref="B54:D54"/>
    <mergeCell ref="B55:D55"/>
  </mergeCells>
  <phoneticPr fontId="4" type="noConversion"/>
  <pageMargins left="0.75" right="0.75" top="1" bottom="1" header="0.5" footer="0.5"/>
  <pageSetup paperSize="9" orientation="portrait" r:id="rId1"/>
  <headerFooter alignWithMargins="0"/>
  <ignoredErrors>
    <ignoredError sqref="A4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view="pageBreakPreview" topLeftCell="A60" zoomScale="130" zoomScaleNormal="100" zoomScaleSheetLayoutView="130" workbookViewId="0">
      <selection activeCell="E88" sqref="E88:F88"/>
    </sheetView>
  </sheetViews>
  <sheetFormatPr defaultColWidth="9.140625" defaultRowHeight="15" x14ac:dyDescent="0.25"/>
  <cols>
    <col min="1" max="1" width="5.5703125" style="25" customWidth="1"/>
    <col min="2" max="2" width="22" style="25" customWidth="1"/>
    <col min="3" max="3" width="27.7109375" style="25" customWidth="1"/>
    <col min="4" max="4" width="20.42578125" style="25" customWidth="1"/>
    <col min="5" max="5" width="10.42578125" style="25" customWidth="1"/>
    <col min="6" max="6" width="9.28515625" style="25" customWidth="1"/>
    <col min="7" max="7" width="12.85546875" style="25" customWidth="1"/>
    <col min="8" max="8" width="21.28515625" style="25" customWidth="1"/>
    <col min="9" max="9" width="9.140625" style="25"/>
    <col min="10" max="10" width="13.7109375" style="25" customWidth="1"/>
    <col min="11" max="16384" width="9.140625" style="25"/>
  </cols>
  <sheetData>
    <row r="1" spans="1:7" x14ac:dyDescent="0.25">
      <c r="C1" s="17"/>
      <c r="D1" s="235" t="s">
        <v>0</v>
      </c>
      <c r="E1" s="235"/>
      <c r="F1" s="235"/>
      <c r="G1" s="26"/>
    </row>
    <row r="2" spans="1:7" x14ac:dyDescent="0.25">
      <c r="C2" s="17"/>
      <c r="D2" s="235" t="s">
        <v>157</v>
      </c>
      <c r="E2" s="235"/>
      <c r="F2" s="235"/>
    </row>
    <row r="3" spans="1:7" x14ac:dyDescent="0.25">
      <c r="C3" s="17"/>
      <c r="D3" s="235" t="s">
        <v>154</v>
      </c>
      <c r="E3" s="235"/>
      <c r="F3" s="235"/>
      <c r="G3" s="26"/>
    </row>
    <row r="4" spans="1:7" x14ac:dyDescent="0.25">
      <c r="C4" s="235" t="s">
        <v>187</v>
      </c>
      <c r="D4" s="235"/>
      <c r="E4" s="235"/>
      <c r="F4" s="235"/>
    </row>
    <row r="6" spans="1:7" hidden="1" x14ac:dyDescent="0.25"/>
    <row r="7" spans="1:7" x14ac:dyDescent="0.25">
      <c r="A7" s="147" t="s">
        <v>2</v>
      </c>
      <c r="B7" s="147"/>
      <c r="C7" s="147"/>
      <c r="D7" s="147"/>
      <c r="E7" s="147"/>
      <c r="F7" s="147"/>
    </row>
    <row r="8" spans="1:7" x14ac:dyDescent="0.25">
      <c r="A8" s="147" t="s">
        <v>3</v>
      </c>
      <c r="B8" s="147"/>
      <c r="C8" s="147"/>
      <c r="D8" s="147"/>
      <c r="E8" s="147"/>
      <c r="F8" s="147"/>
    </row>
    <row r="9" spans="1:7" x14ac:dyDescent="0.25">
      <c r="A9" s="147" t="s">
        <v>156</v>
      </c>
      <c r="B9" s="147"/>
      <c r="C9" s="147"/>
      <c r="D9" s="147"/>
      <c r="E9" s="147"/>
      <c r="F9" s="147"/>
    </row>
    <row r="10" spans="1:7" ht="16.5" customHeight="1" x14ac:dyDescent="0.25">
      <c r="A10" s="146" t="s">
        <v>155</v>
      </c>
      <c r="B10" s="146"/>
      <c r="C10" s="146"/>
      <c r="D10" s="146"/>
      <c r="E10" s="146"/>
      <c r="F10" s="146"/>
    </row>
    <row r="11" spans="1:7" ht="9" customHeight="1" x14ac:dyDescent="0.25"/>
    <row r="12" spans="1:7" ht="43.5" customHeight="1" x14ac:dyDescent="0.25">
      <c r="A12" s="24" t="s">
        <v>5</v>
      </c>
      <c r="B12" s="231" t="s">
        <v>7</v>
      </c>
      <c r="C12" s="232"/>
      <c r="D12" s="233"/>
      <c r="E12" s="143" t="s">
        <v>8</v>
      </c>
      <c r="F12" s="143"/>
    </row>
    <row r="13" spans="1:7" ht="13.5" customHeight="1" x14ac:dyDescent="0.25">
      <c r="A13" s="28">
        <v>1</v>
      </c>
      <c r="B13" s="234">
        <v>2</v>
      </c>
      <c r="C13" s="137"/>
      <c r="D13" s="138"/>
      <c r="E13" s="234">
        <v>3</v>
      </c>
      <c r="F13" s="138"/>
    </row>
    <row r="14" spans="1:7" ht="13.5" customHeight="1" x14ac:dyDescent="0.25">
      <c r="A14" s="142" t="s">
        <v>16</v>
      </c>
      <c r="B14" s="142"/>
      <c r="C14" s="142"/>
      <c r="D14" s="142"/>
      <c r="E14" s="142"/>
      <c r="F14" s="142"/>
    </row>
    <row r="15" spans="1:7" x14ac:dyDescent="0.25">
      <c r="A15" s="28">
        <v>1</v>
      </c>
      <c r="B15" s="88" t="s">
        <v>12</v>
      </c>
      <c r="C15" s="89"/>
      <c r="D15" s="90"/>
      <c r="E15" s="139">
        <v>131675.818</v>
      </c>
      <c r="F15" s="140"/>
    </row>
    <row r="16" spans="1:7" x14ac:dyDescent="0.25">
      <c r="A16" s="130" t="s">
        <v>18</v>
      </c>
      <c r="B16" s="131"/>
      <c r="C16" s="131"/>
      <c r="D16" s="131"/>
      <c r="E16" s="150">
        <f>SUM(E15:F15)</f>
        <v>131675.818</v>
      </c>
      <c r="F16" s="151"/>
    </row>
    <row r="17" spans="1:8" x14ac:dyDescent="0.25">
      <c r="A17" s="142" t="s">
        <v>19</v>
      </c>
      <c r="B17" s="142"/>
      <c r="C17" s="142"/>
      <c r="D17" s="142"/>
      <c r="E17" s="142"/>
      <c r="F17" s="142"/>
    </row>
    <row r="18" spans="1:8" ht="15" customHeight="1" x14ac:dyDescent="0.25">
      <c r="A18" s="6">
        <v>2</v>
      </c>
      <c r="B18" s="152" t="s">
        <v>12</v>
      </c>
      <c r="C18" s="152"/>
      <c r="D18" s="152"/>
      <c r="E18" s="148">
        <v>94324.182000000001</v>
      </c>
      <c r="F18" s="148"/>
    </row>
    <row r="19" spans="1:8" x14ac:dyDescent="0.25">
      <c r="A19" s="142" t="s">
        <v>13</v>
      </c>
      <c r="B19" s="142"/>
      <c r="C19" s="142"/>
      <c r="D19" s="142"/>
      <c r="E19" s="153">
        <f>SUM(E18:F18)</f>
        <v>94324.182000000001</v>
      </c>
      <c r="F19" s="153"/>
    </row>
    <row r="20" spans="1:8" x14ac:dyDescent="0.25">
      <c r="A20" s="142" t="s">
        <v>193</v>
      </c>
      <c r="B20" s="142"/>
      <c r="C20" s="142"/>
      <c r="D20" s="142"/>
      <c r="E20" s="142"/>
      <c r="F20" s="142"/>
    </row>
    <row r="21" spans="1:8" s="11" customFormat="1" x14ac:dyDescent="0.25">
      <c r="A21" s="230" t="s">
        <v>9</v>
      </c>
      <c r="B21" s="230"/>
      <c r="C21" s="230"/>
      <c r="D21" s="230"/>
      <c r="E21" s="230"/>
      <c r="F21" s="230"/>
      <c r="H21" s="13"/>
    </row>
    <row r="22" spans="1:8" s="11" customFormat="1" hidden="1" x14ac:dyDescent="0.25">
      <c r="A22" s="10">
        <v>5</v>
      </c>
      <c r="B22" s="227" t="s">
        <v>114</v>
      </c>
      <c r="C22" s="228"/>
      <c r="D22" s="229"/>
      <c r="E22" s="189"/>
      <c r="F22" s="190"/>
      <c r="H22" s="13"/>
    </row>
    <row r="23" spans="1:8" s="11" customFormat="1" hidden="1" x14ac:dyDescent="0.25">
      <c r="A23" s="10"/>
      <c r="B23" s="206"/>
      <c r="C23" s="207"/>
      <c r="D23" s="208"/>
      <c r="E23" s="225">
        <v>0</v>
      </c>
      <c r="F23" s="226"/>
      <c r="H23" s="13"/>
    </row>
    <row r="24" spans="1:8" s="11" customFormat="1" hidden="1" x14ac:dyDescent="0.25">
      <c r="A24" s="10"/>
      <c r="B24" s="206"/>
      <c r="C24" s="207"/>
      <c r="D24" s="208"/>
      <c r="E24" s="225">
        <v>0</v>
      </c>
      <c r="F24" s="226"/>
      <c r="H24" s="13"/>
    </row>
    <row r="25" spans="1:8" s="11" customFormat="1" ht="15.75" x14ac:dyDescent="0.25">
      <c r="A25" s="10" t="s">
        <v>158</v>
      </c>
      <c r="B25" s="196" t="s">
        <v>115</v>
      </c>
      <c r="C25" s="197"/>
      <c r="D25" s="198"/>
      <c r="E25" s="225"/>
      <c r="F25" s="226"/>
      <c r="H25" s="13"/>
    </row>
    <row r="26" spans="1:8" s="11" customFormat="1" x14ac:dyDescent="0.25">
      <c r="A26" s="10" t="s">
        <v>159</v>
      </c>
      <c r="B26" s="206" t="s">
        <v>99</v>
      </c>
      <c r="C26" s="207"/>
      <c r="D26" s="208"/>
      <c r="E26" s="218">
        <f>9370-221.78203</f>
        <v>9148.2179699999997</v>
      </c>
      <c r="F26" s="219"/>
      <c r="H26" s="13"/>
    </row>
    <row r="27" spans="1:8" s="11" customFormat="1" x14ac:dyDescent="0.25">
      <c r="A27" s="10" t="s">
        <v>160</v>
      </c>
      <c r="B27" s="206" t="s">
        <v>100</v>
      </c>
      <c r="C27" s="207"/>
      <c r="D27" s="208"/>
      <c r="E27" s="218">
        <f>54420-15866.31308</f>
        <v>38553.68692</v>
      </c>
      <c r="F27" s="219"/>
      <c r="H27" s="13"/>
    </row>
    <row r="28" spans="1:8" s="11" customFormat="1" ht="30" customHeight="1" x14ac:dyDescent="0.25">
      <c r="A28" s="10" t="s">
        <v>161</v>
      </c>
      <c r="B28" s="206" t="s">
        <v>101</v>
      </c>
      <c r="C28" s="207"/>
      <c r="D28" s="208"/>
      <c r="E28" s="218">
        <f>19680-1770.4549</f>
        <v>17909.545099999999</v>
      </c>
      <c r="F28" s="219"/>
      <c r="H28" s="13"/>
    </row>
    <row r="29" spans="1:8" s="11" customFormat="1" x14ac:dyDescent="0.25">
      <c r="A29" s="10" t="s">
        <v>162</v>
      </c>
      <c r="B29" s="206" t="s">
        <v>102</v>
      </c>
      <c r="C29" s="207"/>
      <c r="D29" s="208"/>
      <c r="E29" s="218">
        <f>4848-728.1876</f>
        <v>4119.8123999999998</v>
      </c>
      <c r="F29" s="219"/>
      <c r="H29" s="13"/>
    </row>
    <row r="30" spans="1:8" s="11" customFormat="1" x14ac:dyDescent="0.25">
      <c r="A30" s="10" t="s">
        <v>163</v>
      </c>
      <c r="B30" s="206" t="s">
        <v>103</v>
      </c>
      <c r="C30" s="207"/>
      <c r="D30" s="208"/>
      <c r="E30" s="218">
        <f>32301-1251.79014</f>
        <v>31049.209859999999</v>
      </c>
      <c r="F30" s="219"/>
      <c r="H30" s="13"/>
    </row>
    <row r="31" spans="1:8" s="11" customFormat="1" ht="30" customHeight="1" x14ac:dyDescent="0.25">
      <c r="A31" s="10" t="s">
        <v>164</v>
      </c>
      <c r="B31" s="206" t="s">
        <v>104</v>
      </c>
      <c r="C31" s="207"/>
      <c r="D31" s="208"/>
      <c r="E31" s="218">
        <f>12052-1538.93782</f>
        <v>10513.062180000001</v>
      </c>
      <c r="F31" s="219"/>
      <c r="H31" s="13"/>
    </row>
    <row r="32" spans="1:8" s="11" customFormat="1" ht="30" hidden="1" customHeight="1" x14ac:dyDescent="0.25">
      <c r="A32" s="10" t="s">
        <v>64</v>
      </c>
      <c r="B32" s="206" t="s">
        <v>105</v>
      </c>
      <c r="C32" s="207"/>
      <c r="D32" s="208"/>
      <c r="E32" s="218">
        <v>0</v>
      </c>
      <c r="F32" s="219"/>
      <c r="H32" s="13"/>
    </row>
    <row r="33" spans="1:8" s="11" customFormat="1" x14ac:dyDescent="0.25">
      <c r="A33" s="10" t="s">
        <v>165</v>
      </c>
      <c r="B33" s="206" t="s">
        <v>106</v>
      </c>
      <c r="C33" s="207"/>
      <c r="D33" s="208"/>
      <c r="E33" s="218">
        <f>20000-12449.26592</f>
        <v>7550.7340800000002</v>
      </c>
      <c r="F33" s="219"/>
      <c r="H33" s="13"/>
    </row>
    <row r="34" spans="1:8" s="11" customFormat="1" x14ac:dyDescent="0.25">
      <c r="A34" s="10" t="s">
        <v>166</v>
      </c>
      <c r="B34" s="206" t="s">
        <v>107</v>
      </c>
      <c r="C34" s="207"/>
      <c r="D34" s="208"/>
      <c r="E34" s="218">
        <f>5700-502.73544</f>
        <v>5197.2645599999996</v>
      </c>
      <c r="F34" s="219"/>
      <c r="H34" s="13"/>
    </row>
    <row r="35" spans="1:8" s="11" customFormat="1" x14ac:dyDescent="0.25">
      <c r="A35" s="10" t="s">
        <v>167</v>
      </c>
      <c r="B35" s="206" t="s">
        <v>108</v>
      </c>
      <c r="C35" s="207"/>
      <c r="D35" s="208"/>
      <c r="E35" s="218">
        <f>24130-12961.66188</f>
        <v>11168.33812</v>
      </c>
      <c r="F35" s="219"/>
      <c r="H35" s="13"/>
    </row>
    <row r="36" spans="1:8" s="11" customFormat="1" x14ac:dyDescent="0.25">
      <c r="A36" s="10" t="s">
        <v>168</v>
      </c>
      <c r="B36" s="206" t="s">
        <v>109</v>
      </c>
      <c r="C36" s="207"/>
      <c r="D36" s="208"/>
      <c r="E36" s="218">
        <f>30000-13598.73435</f>
        <v>16401.265650000001</v>
      </c>
      <c r="F36" s="219"/>
      <c r="H36" s="13"/>
    </row>
    <row r="37" spans="1:8" s="11" customFormat="1" ht="45" customHeight="1" x14ac:dyDescent="0.25">
      <c r="A37" s="10" t="s">
        <v>169</v>
      </c>
      <c r="B37" s="206" t="s">
        <v>110</v>
      </c>
      <c r="C37" s="207"/>
      <c r="D37" s="208"/>
      <c r="E37" s="204">
        <f>19980.633-1685.07659</f>
        <v>18295.556410000001</v>
      </c>
      <c r="F37" s="205"/>
      <c r="H37" s="13"/>
    </row>
    <row r="38" spans="1:8" s="11" customFormat="1" ht="30" customHeight="1" x14ac:dyDescent="0.25">
      <c r="A38" s="10" t="s">
        <v>170</v>
      </c>
      <c r="B38" s="206" t="s">
        <v>111</v>
      </c>
      <c r="C38" s="207"/>
      <c r="D38" s="208"/>
      <c r="E38" s="218">
        <f>2700-761.50048</f>
        <v>1938.4995199999998</v>
      </c>
      <c r="F38" s="219"/>
      <c r="H38" s="13"/>
    </row>
    <row r="39" spans="1:8" s="11" customFormat="1" ht="30" customHeight="1" x14ac:dyDescent="0.25">
      <c r="A39" s="10" t="s">
        <v>171</v>
      </c>
      <c r="B39" s="206" t="s">
        <v>112</v>
      </c>
      <c r="C39" s="207"/>
      <c r="D39" s="208"/>
      <c r="E39" s="218">
        <f>4945-276.89784</f>
        <v>4668.1021600000004</v>
      </c>
      <c r="F39" s="219"/>
      <c r="H39" s="13"/>
    </row>
    <row r="40" spans="1:8" s="11" customFormat="1" x14ac:dyDescent="0.25">
      <c r="A40" s="10" t="s">
        <v>172</v>
      </c>
      <c r="B40" s="206" t="s">
        <v>113</v>
      </c>
      <c r="C40" s="207"/>
      <c r="D40" s="208"/>
      <c r="E40" s="218">
        <f>860-30.77978</f>
        <v>829.22022000000004</v>
      </c>
      <c r="F40" s="219"/>
      <c r="H40" s="13"/>
    </row>
    <row r="41" spans="1:8" s="11" customFormat="1" x14ac:dyDescent="0.25">
      <c r="A41" s="10" t="s">
        <v>173</v>
      </c>
      <c r="B41" s="206" t="s">
        <v>50</v>
      </c>
      <c r="C41" s="207"/>
      <c r="D41" s="208"/>
      <c r="E41" s="218">
        <f>13846-92.23624</f>
        <v>13753.76376</v>
      </c>
      <c r="F41" s="219"/>
      <c r="H41" s="13"/>
    </row>
    <row r="42" spans="1:8" s="11" customFormat="1" x14ac:dyDescent="0.25">
      <c r="A42" s="10" t="s">
        <v>174</v>
      </c>
      <c r="B42" s="206" t="s">
        <v>51</v>
      </c>
      <c r="C42" s="207"/>
      <c r="D42" s="208"/>
      <c r="E42" s="218">
        <f>4930-3.07402</f>
        <v>4926.92598</v>
      </c>
      <c r="F42" s="219"/>
      <c r="H42" s="13"/>
    </row>
    <row r="43" spans="1:8" s="11" customFormat="1" x14ac:dyDescent="0.25">
      <c r="A43" s="12">
        <v>4</v>
      </c>
      <c r="B43" s="199" t="s">
        <v>53</v>
      </c>
      <c r="C43" s="200"/>
      <c r="D43" s="201"/>
      <c r="E43" s="218"/>
      <c r="F43" s="219"/>
      <c r="H43" s="13"/>
    </row>
    <row r="44" spans="1:8" s="11" customFormat="1" x14ac:dyDescent="0.25">
      <c r="A44" s="10" t="s">
        <v>175</v>
      </c>
      <c r="B44" s="191" t="s">
        <v>116</v>
      </c>
      <c r="C44" s="192"/>
      <c r="D44" s="193"/>
      <c r="E44" s="218">
        <f>46080-5199.18084</f>
        <v>40880.819159999999</v>
      </c>
      <c r="F44" s="219"/>
      <c r="H44" s="13"/>
    </row>
    <row r="45" spans="1:8" s="11" customFormat="1" hidden="1" x14ac:dyDescent="0.25">
      <c r="A45" s="10" t="s">
        <v>76</v>
      </c>
      <c r="B45" s="191" t="s">
        <v>117</v>
      </c>
      <c r="C45" s="192"/>
      <c r="D45" s="193"/>
      <c r="E45" s="218">
        <v>0</v>
      </c>
      <c r="F45" s="219"/>
      <c r="H45" s="13"/>
    </row>
    <row r="46" spans="1:8" s="11" customFormat="1" hidden="1" x14ac:dyDescent="0.25">
      <c r="A46" s="10" t="s">
        <v>77</v>
      </c>
      <c r="B46" s="191" t="s">
        <v>118</v>
      </c>
      <c r="C46" s="192"/>
      <c r="D46" s="193"/>
      <c r="E46" s="218">
        <v>0</v>
      </c>
      <c r="F46" s="219"/>
      <c r="H46" s="13"/>
    </row>
    <row r="47" spans="1:8" s="11" customFormat="1" x14ac:dyDescent="0.25">
      <c r="A47" s="10"/>
      <c r="B47" s="220" t="s">
        <v>20</v>
      </c>
      <c r="C47" s="221"/>
      <c r="D47" s="222"/>
      <c r="E47" s="223">
        <f>SUM(E22:F46)</f>
        <v>236904.02405000001</v>
      </c>
      <c r="F47" s="224"/>
      <c r="H47" s="13"/>
    </row>
    <row r="48" spans="1:8" s="11" customFormat="1" x14ac:dyDescent="0.25">
      <c r="A48" s="196" t="s">
        <v>54</v>
      </c>
      <c r="B48" s="197"/>
      <c r="C48" s="197"/>
      <c r="D48" s="198"/>
      <c r="E48" s="189"/>
      <c r="F48" s="190"/>
      <c r="H48" s="13"/>
    </row>
    <row r="49" spans="1:8" s="11" customFormat="1" ht="27" customHeight="1" x14ac:dyDescent="0.25">
      <c r="A49" s="12">
        <v>5</v>
      </c>
      <c r="B49" s="180" t="s">
        <v>134</v>
      </c>
      <c r="C49" s="181"/>
      <c r="D49" s="182"/>
      <c r="E49" s="218">
        <f>58020-17778.38448</f>
        <v>40241.615519999999</v>
      </c>
      <c r="F49" s="219"/>
      <c r="H49" s="13">
        <f>E47+E49+E51+E53+E55+E58</f>
        <v>316672.48161000002</v>
      </c>
    </row>
    <row r="50" spans="1:8" s="11" customFormat="1" x14ac:dyDescent="0.25">
      <c r="A50" s="186" t="s">
        <v>55</v>
      </c>
      <c r="B50" s="187"/>
      <c r="C50" s="187"/>
      <c r="D50" s="188"/>
      <c r="E50" s="189"/>
      <c r="F50" s="190"/>
      <c r="H50" s="13"/>
    </row>
    <row r="51" spans="1:8" s="11" customFormat="1" x14ac:dyDescent="0.25">
      <c r="A51" s="12">
        <v>6</v>
      </c>
      <c r="B51" s="191" t="s">
        <v>135</v>
      </c>
      <c r="C51" s="192"/>
      <c r="D51" s="193"/>
      <c r="E51" s="218">
        <v>3016.489</v>
      </c>
      <c r="F51" s="219"/>
      <c r="H51" s="13" t="e">
        <f>#REF!+#REF!</f>
        <v>#REF!</v>
      </c>
    </row>
    <row r="52" spans="1:8" s="11" customFormat="1" ht="15" customHeight="1" x14ac:dyDescent="0.25">
      <c r="A52" s="186" t="s">
        <v>137</v>
      </c>
      <c r="B52" s="187"/>
      <c r="C52" s="187"/>
      <c r="D52" s="188"/>
      <c r="E52" s="218"/>
      <c r="F52" s="219"/>
      <c r="H52" s="13"/>
    </row>
    <row r="53" spans="1:8" s="11" customFormat="1" x14ac:dyDescent="0.25">
      <c r="A53" s="12">
        <v>7</v>
      </c>
      <c r="B53" s="180" t="s">
        <v>56</v>
      </c>
      <c r="C53" s="181"/>
      <c r="D53" s="182"/>
      <c r="E53" s="218">
        <f>22553.339-14.98146</f>
        <v>22538.357540000001</v>
      </c>
      <c r="F53" s="219"/>
      <c r="H53" s="13"/>
    </row>
    <row r="54" spans="1:8" s="11" customFormat="1" x14ac:dyDescent="0.25">
      <c r="A54" s="186" t="s">
        <v>138</v>
      </c>
      <c r="B54" s="187"/>
      <c r="C54" s="187"/>
      <c r="D54" s="188"/>
      <c r="E54" s="189"/>
      <c r="F54" s="190"/>
      <c r="H54" s="13"/>
    </row>
    <row r="55" spans="1:8" s="11" customFormat="1" x14ac:dyDescent="0.25">
      <c r="A55" s="12">
        <v>8</v>
      </c>
      <c r="B55" s="191" t="s">
        <v>139</v>
      </c>
      <c r="C55" s="192"/>
      <c r="D55" s="193"/>
      <c r="E55" s="218">
        <v>6751.9</v>
      </c>
      <c r="F55" s="219"/>
      <c r="H55" s="13"/>
    </row>
    <row r="56" spans="1:8" s="11" customFormat="1" ht="15" hidden="1" customHeight="1" x14ac:dyDescent="0.25">
      <c r="A56" s="12">
        <v>13</v>
      </c>
      <c r="B56" s="180" t="s">
        <v>140</v>
      </c>
      <c r="C56" s="181"/>
      <c r="D56" s="182"/>
      <c r="E56" s="218">
        <v>0</v>
      </c>
      <c r="F56" s="219"/>
      <c r="H56" s="13"/>
    </row>
    <row r="57" spans="1:8" s="11" customFormat="1" x14ac:dyDescent="0.25">
      <c r="A57" s="186" t="s">
        <v>149</v>
      </c>
      <c r="B57" s="187"/>
      <c r="C57" s="187"/>
      <c r="D57" s="188"/>
      <c r="E57" s="218"/>
      <c r="F57" s="219"/>
      <c r="H57" s="13"/>
    </row>
    <row r="58" spans="1:8" s="11" customFormat="1" x14ac:dyDescent="0.25">
      <c r="A58" s="12">
        <v>9</v>
      </c>
      <c r="B58" s="180" t="s">
        <v>141</v>
      </c>
      <c r="C58" s="181"/>
      <c r="D58" s="182"/>
      <c r="E58" s="218">
        <f>7510-289.9045</f>
        <v>7220.0955000000004</v>
      </c>
      <c r="F58" s="219"/>
      <c r="H58" s="13"/>
    </row>
    <row r="59" spans="1:8" s="11" customFormat="1" x14ac:dyDescent="0.25">
      <c r="A59" s="10"/>
      <c r="B59" s="220" t="s">
        <v>20</v>
      </c>
      <c r="C59" s="221"/>
      <c r="D59" s="222"/>
      <c r="E59" s="189">
        <f>SUM(E48:F58)</f>
        <v>79768.457559999995</v>
      </c>
      <c r="F59" s="190"/>
      <c r="H59" s="13">
        <f>E47+E59</f>
        <v>316672.48161000002</v>
      </c>
    </row>
    <row r="60" spans="1:8" x14ac:dyDescent="0.25">
      <c r="A60" s="142" t="s">
        <v>15</v>
      </c>
      <c r="B60" s="142"/>
      <c r="C60" s="142"/>
      <c r="D60" s="142"/>
      <c r="E60" s="149">
        <f>E47+E59</f>
        <v>316672.48161000002</v>
      </c>
      <c r="F60" s="149"/>
    </row>
    <row r="61" spans="1:8" x14ac:dyDescent="0.25">
      <c r="A61" s="130" t="s">
        <v>196</v>
      </c>
      <c r="B61" s="131"/>
      <c r="C61" s="131"/>
      <c r="D61" s="131"/>
      <c r="E61" s="131"/>
      <c r="F61" s="132"/>
    </row>
    <row r="62" spans="1:8" ht="16.5" customHeight="1" x14ac:dyDescent="0.25">
      <c r="A62" s="23" t="s">
        <v>176</v>
      </c>
      <c r="B62" s="109" t="s">
        <v>115</v>
      </c>
      <c r="C62" s="110"/>
      <c r="D62" s="111"/>
      <c r="E62" s="216"/>
      <c r="F62" s="217"/>
    </row>
    <row r="63" spans="1:8" s="11" customFormat="1" x14ac:dyDescent="0.25">
      <c r="A63" s="10" t="s">
        <v>82</v>
      </c>
      <c r="B63" s="206" t="s">
        <v>99</v>
      </c>
      <c r="C63" s="207"/>
      <c r="D63" s="208"/>
      <c r="E63" s="194">
        <f>641.3886</f>
        <v>641.3886</v>
      </c>
      <c r="F63" s="195"/>
      <c r="G63" s="30">
        <v>221.78202999999999</v>
      </c>
      <c r="H63" s="31"/>
    </row>
    <row r="64" spans="1:8" s="11" customFormat="1" ht="15" hidden="1" customHeight="1" x14ac:dyDescent="0.25">
      <c r="A64" s="10"/>
      <c r="B64" s="211" t="s">
        <v>100</v>
      </c>
      <c r="C64" s="212"/>
      <c r="D64" s="213"/>
      <c r="E64" s="214"/>
      <c r="F64" s="215"/>
      <c r="G64" s="32"/>
      <c r="H64" s="33"/>
    </row>
    <row r="65" spans="1:8" s="11" customFormat="1" ht="30" customHeight="1" x14ac:dyDescent="0.25">
      <c r="A65" s="10" t="s">
        <v>177</v>
      </c>
      <c r="B65" s="206" t="s">
        <v>101</v>
      </c>
      <c r="C65" s="207"/>
      <c r="D65" s="208"/>
      <c r="E65" s="194">
        <f>971.00312+632.59082</f>
        <v>1603.59394</v>
      </c>
      <c r="F65" s="195"/>
      <c r="G65" s="30">
        <v>1770.4549</v>
      </c>
      <c r="H65" s="31"/>
    </row>
    <row r="66" spans="1:8" s="11" customFormat="1" x14ac:dyDescent="0.25">
      <c r="A66" s="10" t="s">
        <v>198</v>
      </c>
      <c r="B66" s="206" t="s">
        <v>102</v>
      </c>
      <c r="C66" s="207"/>
      <c r="D66" s="208"/>
      <c r="E66" s="194">
        <f>2715.3216</f>
        <v>2715.3216000000002</v>
      </c>
      <c r="F66" s="195"/>
      <c r="G66" s="30">
        <v>728.18759999999997</v>
      </c>
      <c r="H66" s="31"/>
    </row>
    <row r="67" spans="1:8" s="11" customFormat="1" hidden="1" x14ac:dyDescent="0.25">
      <c r="A67" s="10"/>
      <c r="B67" s="206" t="s">
        <v>103</v>
      </c>
      <c r="C67" s="207"/>
      <c r="D67" s="208"/>
      <c r="E67" s="194"/>
      <c r="F67" s="195"/>
      <c r="G67" s="30">
        <v>1251.7901400000001</v>
      </c>
      <c r="H67" s="31"/>
    </row>
    <row r="68" spans="1:8" s="11" customFormat="1" ht="30" customHeight="1" x14ac:dyDescent="0.25">
      <c r="A68" s="10" t="s">
        <v>199</v>
      </c>
      <c r="B68" s="206" t="s">
        <v>104</v>
      </c>
      <c r="C68" s="207"/>
      <c r="D68" s="208"/>
      <c r="E68" s="194">
        <f>11779.40664</f>
        <v>11779.406639999999</v>
      </c>
      <c r="F68" s="195"/>
      <c r="G68" s="30">
        <v>1538.9378200000001</v>
      </c>
      <c r="H68" s="31"/>
    </row>
    <row r="69" spans="1:8" s="11" customFormat="1" ht="30" hidden="1" customHeight="1" x14ac:dyDescent="0.25">
      <c r="A69" s="10"/>
      <c r="B69" s="211" t="s">
        <v>105</v>
      </c>
      <c r="C69" s="212"/>
      <c r="D69" s="213"/>
      <c r="E69" s="214"/>
      <c r="F69" s="215"/>
      <c r="G69" s="32"/>
      <c r="H69" s="33"/>
    </row>
    <row r="70" spans="1:8" s="11" customFormat="1" ht="15" hidden="1" customHeight="1" x14ac:dyDescent="0.25">
      <c r="A70" s="10"/>
      <c r="B70" s="211" t="s">
        <v>106</v>
      </c>
      <c r="C70" s="212"/>
      <c r="D70" s="213"/>
      <c r="E70" s="214"/>
      <c r="F70" s="215"/>
      <c r="G70" s="32"/>
      <c r="H70" s="33"/>
    </row>
    <row r="71" spans="1:8" s="11" customFormat="1" hidden="1" x14ac:dyDescent="0.25">
      <c r="A71" s="10"/>
      <c r="B71" s="206" t="s">
        <v>107</v>
      </c>
      <c r="C71" s="207"/>
      <c r="D71" s="208"/>
      <c r="E71" s="194"/>
      <c r="F71" s="195"/>
      <c r="G71" s="30">
        <v>502.73543999999998</v>
      </c>
      <c r="H71" s="31"/>
    </row>
    <row r="72" spans="1:8" s="11" customFormat="1" hidden="1" x14ac:dyDescent="0.25">
      <c r="A72" s="10"/>
      <c r="B72" s="206" t="s">
        <v>108</v>
      </c>
      <c r="C72" s="207"/>
      <c r="D72" s="208"/>
      <c r="E72" s="194"/>
      <c r="F72" s="195"/>
      <c r="G72" s="30">
        <v>12961.66188</v>
      </c>
      <c r="H72" s="31"/>
    </row>
    <row r="73" spans="1:8" s="11" customFormat="1" x14ac:dyDescent="0.25">
      <c r="A73" s="10" t="s">
        <v>200</v>
      </c>
      <c r="B73" s="206" t="s">
        <v>109</v>
      </c>
      <c r="C73" s="207"/>
      <c r="D73" s="208"/>
      <c r="E73" s="194">
        <f>43.0405+502.63752+187.58815+1449.66775</f>
        <v>2182.9339199999999</v>
      </c>
      <c r="F73" s="195"/>
      <c r="G73" s="30">
        <v>13598.734350000001</v>
      </c>
      <c r="H73" s="31"/>
    </row>
    <row r="74" spans="1:8" s="11" customFormat="1" ht="45" hidden="1" customHeight="1" x14ac:dyDescent="0.25">
      <c r="A74" s="10"/>
      <c r="B74" s="206" t="s">
        <v>110</v>
      </c>
      <c r="C74" s="207"/>
      <c r="D74" s="208"/>
      <c r="E74" s="209"/>
      <c r="F74" s="210"/>
      <c r="G74" s="34">
        <v>1685.0765899999999</v>
      </c>
      <c r="H74" s="35"/>
    </row>
    <row r="75" spans="1:8" s="11" customFormat="1" ht="30" customHeight="1" x14ac:dyDescent="0.25">
      <c r="A75" s="10" t="s">
        <v>201</v>
      </c>
      <c r="B75" s="206" t="s">
        <v>111</v>
      </c>
      <c r="C75" s="207"/>
      <c r="D75" s="208"/>
      <c r="E75" s="194">
        <f>7789.27794+170.59024+4111.00082</f>
        <v>12070.868999999999</v>
      </c>
      <c r="F75" s="195"/>
      <c r="G75" s="30">
        <v>761.50048000000004</v>
      </c>
      <c r="H75" s="31"/>
    </row>
    <row r="76" spans="1:8" s="11" customFormat="1" ht="28.5" hidden="1" customHeight="1" x14ac:dyDescent="0.25">
      <c r="A76" s="10"/>
      <c r="B76" s="206" t="s">
        <v>112</v>
      </c>
      <c r="C76" s="207"/>
      <c r="D76" s="208"/>
      <c r="E76" s="194"/>
      <c r="F76" s="195"/>
      <c r="G76" s="30">
        <v>276.89783999999997</v>
      </c>
      <c r="H76" s="31"/>
    </row>
    <row r="77" spans="1:8" s="11" customFormat="1" x14ac:dyDescent="0.25">
      <c r="A77" s="10" t="s">
        <v>203</v>
      </c>
      <c r="B77" s="206" t="s">
        <v>205</v>
      </c>
      <c r="C77" s="207"/>
      <c r="D77" s="208"/>
      <c r="E77" s="194">
        <f>538.7762+252.58372</f>
        <v>791.35991999999999</v>
      </c>
      <c r="F77" s="195"/>
      <c r="G77" s="30">
        <v>30.779779999999999</v>
      </c>
      <c r="H77" s="31"/>
    </row>
    <row r="78" spans="1:8" s="11" customFormat="1" hidden="1" x14ac:dyDescent="0.25">
      <c r="A78" s="10"/>
      <c r="B78" s="206" t="s">
        <v>50</v>
      </c>
      <c r="C78" s="207"/>
      <c r="D78" s="208"/>
      <c r="E78" s="194"/>
      <c r="F78" s="195"/>
      <c r="G78" s="30">
        <v>92.236239999999995</v>
      </c>
      <c r="H78" s="31"/>
    </row>
    <row r="79" spans="1:8" s="11" customFormat="1" x14ac:dyDescent="0.25">
      <c r="A79" s="10" t="s">
        <v>204</v>
      </c>
      <c r="B79" s="206" t="s">
        <v>51</v>
      </c>
      <c r="C79" s="207"/>
      <c r="D79" s="208"/>
      <c r="E79" s="194">
        <v>3830.96558</v>
      </c>
      <c r="F79" s="195"/>
      <c r="G79" s="30">
        <v>3.07402</v>
      </c>
      <c r="H79" s="31"/>
    </row>
    <row r="80" spans="1:8" s="11" customFormat="1" x14ac:dyDescent="0.25">
      <c r="A80" s="12">
        <v>11</v>
      </c>
      <c r="B80" s="199" t="s">
        <v>53</v>
      </c>
      <c r="C80" s="200"/>
      <c r="D80" s="201"/>
      <c r="E80" s="202"/>
      <c r="F80" s="203"/>
      <c r="G80" s="30"/>
      <c r="H80" s="31"/>
    </row>
    <row r="81" spans="1:8" s="11" customFormat="1" x14ac:dyDescent="0.25">
      <c r="A81" s="10" t="s">
        <v>178</v>
      </c>
      <c r="B81" s="191" t="s">
        <v>116</v>
      </c>
      <c r="C81" s="192"/>
      <c r="D81" s="193"/>
      <c r="E81" s="194">
        <f>4646.48482+550.59626+1369.96348</f>
        <v>6567.0445600000003</v>
      </c>
      <c r="F81" s="195"/>
      <c r="G81" s="30">
        <v>5199.18084</v>
      </c>
      <c r="H81" s="31"/>
    </row>
    <row r="82" spans="1:8" s="11" customFormat="1" hidden="1" x14ac:dyDescent="0.25">
      <c r="A82" s="10" t="s">
        <v>179</v>
      </c>
      <c r="B82" s="191" t="s">
        <v>117</v>
      </c>
      <c r="C82" s="192"/>
      <c r="D82" s="193"/>
      <c r="E82" s="194"/>
      <c r="F82" s="195"/>
      <c r="G82" s="30">
        <v>2300</v>
      </c>
      <c r="H82" s="31"/>
    </row>
    <row r="83" spans="1:8" s="11" customFormat="1" hidden="1" x14ac:dyDescent="0.25">
      <c r="A83" s="10" t="s">
        <v>180</v>
      </c>
      <c r="B83" s="191" t="s">
        <v>118</v>
      </c>
      <c r="C83" s="192"/>
      <c r="D83" s="193"/>
      <c r="E83" s="194"/>
      <c r="F83" s="195"/>
      <c r="G83" s="30">
        <v>320</v>
      </c>
      <c r="H83" s="31"/>
    </row>
    <row r="84" spans="1:8" s="11" customFormat="1" ht="15" customHeight="1" x14ac:dyDescent="0.25">
      <c r="A84" s="14" t="s">
        <v>206</v>
      </c>
      <c r="B84" s="196" t="s">
        <v>210</v>
      </c>
      <c r="C84" s="197"/>
      <c r="D84" s="198"/>
      <c r="E84" s="189"/>
      <c r="F84" s="190"/>
      <c r="G84" s="36"/>
      <c r="H84" s="37"/>
    </row>
    <row r="85" spans="1:8" s="11" customFormat="1" x14ac:dyDescent="0.25">
      <c r="A85" s="10" t="s">
        <v>181</v>
      </c>
      <c r="B85" s="180" t="s">
        <v>208</v>
      </c>
      <c r="C85" s="181"/>
      <c r="D85" s="182"/>
      <c r="E85" s="204">
        <v>1137.1258800000001</v>
      </c>
      <c r="F85" s="205"/>
      <c r="G85" s="36"/>
      <c r="H85" s="37"/>
    </row>
    <row r="86" spans="1:8" s="11" customFormat="1" ht="28.5" customHeight="1" x14ac:dyDescent="0.25">
      <c r="A86" s="10" t="s">
        <v>182</v>
      </c>
      <c r="B86" s="180" t="s">
        <v>209</v>
      </c>
      <c r="C86" s="181"/>
      <c r="D86" s="182"/>
      <c r="E86" s="183">
        <f>3428.7614+9698.7386</f>
        <v>13127.5</v>
      </c>
      <c r="F86" s="184"/>
      <c r="G86" s="38">
        <v>17778.384480000001</v>
      </c>
      <c r="H86" s="39"/>
    </row>
    <row r="87" spans="1:8" s="11" customFormat="1" ht="15" customHeight="1" x14ac:dyDescent="0.25">
      <c r="A87" s="15" t="s">
        <v>183</v>
      </c>
      <c r="B87" s="185" t="s">
        <v>151</v>
      </c>
      <c r="C87" s="185"/>
      <c r="D87" s="185"/>
      <c r="E87" s="183"/>
      <c r="F87" s="184"/>
      <c r="G87" s="38"/>
      <c r="H87" s="39"/>
    </row>
    <row r="88" spans="1:8" s="11" customFormat="1" x14ac:dyDescent="0.25">
      <c r="A88" s="10" t="s">
        <v>184</v>
      </c>
      <c r="B88" s="180" t="s">
        <v>56</v>
      </c>
      <c r="C88" s="181"/>
      <c r="D88" s="182"/>
      <c r="E88" s="183">
        <f>768.08088+5932.29424</f>
        <v>6700.3751200000006</v>
      </c>
      <c r="F88" s="184"/>
      <c r="G88" s="38">
        <v>14.98146</v>
      </c>
      <c r="H88" s="39"/>
    </row>
    <row r="89" spans="1:8" s="11" customFormat="1" ht="15" hidden="1" customHeight="1" x14ac:dyDescent="0.25">
      <c r="A89" s="42"/>
      <c r="B89" s="186" t="s">
        <v>152</v>
      </c>
      <c r="C89" s="187"/>
      <c r="D89" s="188"/>
      <c r="E89" s="189"/>
      <c r="F89" s="190"/>
      <c r="G89" s="36"/>
      <c r="H89" s="37"/>
    </row>
    <row r="90" spans="1:8" s="11" customFormat="1" ht="15" hidden="1" customHeight="1" x14ac:dyDescent="0.25">
      <c r="A90" s="42"/>
      <c r="B90" s="180" t="s">
        <v>140</v>
      </c>
      <c r="C90" s="181"/>
      <c r="D90" s="182"/>
      <c r="E90" s="183"/>
      <c r="F90" s="184"/>
      <c r="G90" s="38">
        <v>920</v>
      </c>
      <c r="H90" s="39"/>
    </row>
    <row r="91" spans="1:8" s="11" customFormat="1" x14ac:dyDescent="0.25">
      <c r="A91" s="15" t="s">
        <v>185</v>
      </c>
      <c r="B91" s="185" t="s">
        <v>153</v>
      </c>
      <c r="C91" s="185"/>
      <c r="D91" s="185"/>
      <c r="E91" s="183"/>
      <c r="F91" s="184"/>
      <c r="G91" s="38"/>
      <c r="H91" s="39"/>
    </row>
    <row r="92" spans="1:8" s="11" customFormat="1" x14ac:dyDescent="0.25">
      <c r="A92" s="10" t="s">
        <v>186</v>
      </c>
      <c r="B92" s="180" t="s">
        <v>141</v>
      </c>
      <c r="C92" s="181"/>
      <c r="D92" s="182"/>
      <c r="E92" s="183">
        <f>766.16456+2690.46844</f>
        <v>3456.6330000000003</v>
      </c>
      <c r="F92" s="184"/>
      <c r="G92" s="38">
        <v>289.90449999999998</v>
      </c>
      <c r="H92" s="39"/>
    </row>
    <row r="93" spans="1:8" ht="15" customHeight="1" x14ac:dyDescent="0.25">
      <c r="A93" s="142" t="s">
        <v>202</v>
      </c>
      <c r="B93" s="142"/>
      <c r="C93" s="142"/>
      <c r="D93" s="142"/>
      <c r="E93" s="176">
        <f>SUM(E62:F92)</f>
        <v>66604.517760000002</v>
      </c>
      <c r="F93" s="177"/>
      <c r="G93" s="40">
        <f>SUM(G62:H92)</f>
        <v>62246.300389999997</v>
      </c>
      <c r="H93" s="41"/>
    </row>
    <row r="94" spans="1:8" x14ac:dyDescent="0.25">
      <c r="A94" s="130"/>
      <c r="B94" s="131"/>
      <c r="C94" s="131"/>
      <c r="D94" s="132"/>
      <c r="E94" s="178"/>
      <c r="F94" s="179"/>
      <c r="H94" s="9"/>
    </row>
    <row r="95" spans="1:8" x14ac:dyDescent="0.25">
      <c r="A95" s="130" t="s">
        <v>197</v>
      </c>
      <c r="B95" s="131"/>
      <c r="C95" s="131"/>
      <c r="D95" s="132"/>
      <c r="E95" s="178">
        <f>E16+E19+E60+E93</f>
        <v>609276.99936999998</v>
      </c>
      <c r="F95" s="179"/>
      <c r="H95" s="9"/>
    </row>
    <row r="96" spans="1:8" ht="9" customHeight="1" x14ac:dyDescent="0.25">
      <c r="A96" s="19"/>
      <c r="B96" s="19"/>
      <c r="C96" s="19"/>
      <c r="D96" s="19"/>
      <c r="E96" s="20"/>
      <c r="F96" s="20"/>
      <c r="H96" s="9"/>
    </row>
    <row r="97" spans="1:7" x14ac:dyDescent="0.25">
      <c r="A97" s="156" t="s">
        <v>28</v>
      </c>
      <c r="B97" s="156"/>
      <c r="C97" s="156"/>
      <c r="D97" s="156"/>
      <c r="E97" s="174">
        <f>E95*1000</f>
        <v>609276999.37</v>
      </c>
      <c r="F97" s="174"/>
      <c r="G97" s="8"/>
    </row>
    <row r="98" spans="1:7" ht="15" customHeight="1" x14ac:dyDescent="0.25">
      <c r="A98" s="154" t="s">
        <v>29</v>
      </c>
      <c r="B98" s="154"/>
      <c r="C98" s="154"/>
      <c r="D98" s="154"/>
      <c r="E98" s="175">
        <f>E97-E97/1.18</f>
        <v>92940559.225932181</v>
      </c>
      <c r="F98" s="175"/>
    </row>
    <row r="99" spans="1:7" ht="8.25" customHeight="1" x14ac:dyDescent="0.25"/>
    <row r="100" spans="1:7" hidden="1" x14ac:dyDescent="0.25"/>
    <row r="101" spans="1:7" ht="30" customHeight="1" x14ac:dyDescent="0.25">
      <c r="A101" s="147" t="s">
        <v>31</v>
      </c>
      <c r="B101" s="147"/>
      <c r="C101" s="147"/>
      <c r="D101" s="147"/>
      <c r="E101" s="147"/>
      <c r="F101" s="147"/>
    </row>
    <row r="102" spans="1:7" ht="8.25" customHeight="1" x14ac:dyDescent="0.25"/>
    <row r="103" spans="1:7" x14ac:dyDescent="0.25">
      <c r="B103" s="24" t="s">
        <v>32</v>
      </c>
      <c r="C103" s="143" t="s">
        <v>33</v>
      </c>
      <c r="D103" s="143"/>
    </row>
    <row r="104" spans="1:7" ht="10.5" customHeight="1" x14ac:dyDescent="0.25">
      <c r="B104" s="171">
        <v>2013</v>
      </c>
      <c r="C104" s="172"/>
      <c r="D104" s="173"/>
    </row>
    <row r="105" spans="1:7" ht="11.25" customHeight="1" x14ac:dyDescent="0.25">
      <c r="B105" s="24" t="s">
        <v>34</v>
      </c>
      <c r="C105" s="167">
        <v>5.63</v>
      </c>
      <c r="D105" s="167"/>
    </row>
    <row r="106" spans="1:7" x14ac:dyDescent="0.25">
      <c r="B106" s="24" t="s">
        <v>35</v>
      </c>
      <c r="C106" s="167">
        <v>4.09</v>
      </c>
      <c r="D106" s="167"/>
    </row>
    <row r="107" spans="1:7" x14ac:dyDescent="0.25">
      <c r="B107" s="24" t="s">
        <v>36</v>
      </c>
      <c r="C107" s="167">
        <v>6.02</v>
      </c>
      <c r="D107" s="167"/>
    </row>
    <row r="108" spans="1:7" ht="12.75" customHeight="1" x14ac:dyDescent="0.25">
      <c r="B108" s="171">
        <v>2014</v>
      </c>
      <c r="C108" s="172"/>
      <c r="D108" s="173"/>
    </row>
    <row r="109" spans="1:7" x14ac:dyDescent="0.25">
      <c r="B109" s="24" t="s">
        <v>34</v>
      </c>
      <c r="C109" s="167">
        <v>6.03</v>
      </c>
      <c r="D109" s="167"/>
    </row>
    <row r="110" spans="1:7" x14ac:dyDescent="0.25">
      <c r="B110" s="24" t="s">
        <v>35</v>
      </c>
      <c r="C110" s="167">
        <v>4.38</v>
      </c>
      <c r="D110" s="167"/>
    </row>
    <row r="111" spans="1:7" x14ac:dyDescent="0.25">
      <c r="B111" s="24" t="s">
        <v>36</v>
      </c>
      <c r="C111" s="167">
        <v>6.45</v>
      </c>
      <c r="D111" s="167"/>
    </row>
    <row r="112" spans="1:7" ht="11.25" customHeight="1" x14ac:dyDescent="0.25"/>
    <row r="113" spans="1:6" ht="11.25" customHeight="1" x14ac:dyDescent="0.25"/>
    <row r="114" spans="1:6" ht="18" customHeight="1" x14ac:dyDescent="0.25">
      <c r="A114" s="168" t="s">
        <v>37</v>
      </c>
      <c r="B114" s="168"/>
      <c r="C114" s="168"/>
      <c r="D114" s="168"/>
      <c r="E114" s="168"/>
      <c r="F114" s="168"/>
    </row>
    <row r="115" spans="1:6" x14ac:dyDescent="0.25">
      <c r="A115" s="16"/>
      <c r="B115" s="16" t="s">
        <v>38</v>
      </c>
      <c r="C115" s="16"/>
      <c r="D115" s="169" t="s">
        <v>188</v>
      </c>
      <c r="E115" s="169"/>
      <c r="F115" s="16"/>
    </row>
    <row r="116" spans="1:6" x14ac:dyDescent="0.25">
      <c r="B116" s="21" t="s">
        <v>190</v>
      </c>
      <c r="D116" s="25" t="s">
        <v>194</v>
      </c>
    </row>
    <row r="117" spans="1:6" x14ac:dyDescent="0.25">
      <c r="B117" s="21" t="s">
        <v>40</v>
      </c>
      <c r="D117" s="170" t="s">
        <v>189</v>
      </c>
      <c r="E117" s="170"/>
      <c r="F117" s="170"/>
    </row>
    <row r="118" spans="1:6" x14ac:dyDescent="0.25">
      <c r="B118" s="21" t="s">
        <v>191</v>
      </c>
    </row>
    <row r="119" spans="1:6" x14ac:dyDescent="0.25">
      <c r="B119" s="21" t="s">
        <v>211</v>
      </c>
    </row>
    <row r="120" spans="1:6" ht="15" customHeight="1" x14ac:dyDescent="0.25">
      <c r="B120" s="21" t="s">
        <v>192</v>
      </c>
      <c r="D120" s="27"/>
      <c r="E120" s="145"/>
      <c r="F120" s="145"/>
    </row>
    <row r="121" spans="1:6" ht="24.75" customHeight="1" x14ac:dyDescent="0.25">
      <c r="A121" s="16"/>
      <c r="B121" s="29"/>
      <c r="C121" s="22" t="s">
        <v>207</v>
      </c>
      <c r="D121" s="18"/>
      <c r="E121" s="145" t="s">
        <v>195</v>
      </c>
      <c r="F121" s="145"/>
    </row>
    <row r="124" spans="1:6" x14ac:dyDescent="0.25">
      <c r="D124" s="27"/>
      <c r="E124" s="147"/>
      <c r="F124" s="147"/>
    </row>
  </sheetData>
  <mergeCells count="191">
    <mergeCell ref="D1:F1"/>
    <mergeCell ref="D2:F2"/>
    <mergeCell ref="D3:F3"/>
    <mergeCell ref="C4:F4"/>
    <mergeCell ref="A7:F7"/>
    <mergeCell ref="A8:F8"/>
    <mergeCell ref="A14:F14"/>
    <mergeCell ref="B15:D15"/>
    <mergeCell ref="E15:F15"/>
    <mergeCell ref="A16:D16"/>
    <mergeCell ref="E16:F16"/>
    <mergeCell ref="A17:F17"/>
    <mergeCell ref="A9:F9"/>
    <mergeCell ref="A10:F10"/>
    <mergeCell ref="B12:D12"/>
    <mergeCell ref="E12:F12"/>
    <mergeCell ref="B13:D13"/>
    <mergeCell ref="E13:F13"/>
    <mergeCell ref="B22:D22"/>
    <mergeCell ref="E22:F22"/>
    <mergeCell ref="B23:D23"/>
    <mergeCell ref="E23:F23"/>
    <mergeCell ref="B24:D24"/>
    <mergeCell ref="E24:F24"/>
    <mergeCell ref="B18:D18"/>
    <mergeCell ref="E18:F18"/>
    <mergeCell ref="A19:D19"/>
    <mergeCell ref="E19:F19"/>
    <mergeCell ref="A20:F20"/>
    <mergeCell ref="A21:F21"/>
    <mergeCell ref="B28:D28"/>
    <mergeCell ref="E28:F28"/>
    <mergeCell ref="B29:D29"/>
    <mergeCell ref="E29:F29"/>
    <mergeCell ref="B30:D30"/>
    <mergeCell ref="E30:F30"/>
    <mergeCell ref="B25:D25"/>
    <mergeCell ref="E25:F25"/>
    <mergeCell ref="B26:D26"/>
    <mergeCell ref="E26:F26"/>
    <mergeCell ref="B27:D27"/>
    <mergeCell ref="E27:F27"/>
    <mergeCell ref="B34:D34"/>
    <mergeCell ref="E34:F34"/>
    <mergeCell ref="B35:D35"/>
    <mergeCell ref="E35:F35"/>
    <mergeCell ref="B36:D36"/>
    <mergeCell ref="E36:F36"/>
    <mergeCell ref="B31:D31"/>
    <mergeCell ref="E31:F31"/>
    <mergeCell ref="B32:D32"/>
    <mergeCell ref="E32:F32"/>
    <mergeCell ref="B33:D33"/>
    <mergeCell ref="E33:F33"/>
    <mergeCell ref="B40:D40"/>
    <mergeCell ref="E40:F40"/>
    <mergeCell ref="B41:D41"/>
    <mergeCell ref="E41:F41"/>
    <mergeCell ref="B42:D42"/>
    <mergeCell ref="E42:F42"/>
    <mergeCell ref="B37:D37"/>
    <mergeCell ref="E37:F37"/>
    <mergeCell ref="B38:D38"/>
    <mergeCell ref="E38:F38"/>
    <mergeCell ref="B39:D39"/>
    <mergeCell ref="E39:F39"/>
    <mergeCell ref="B46:D46"/>
    <mergeCell ref="E46:F46"/>
    <mergeCell ref="B47:D47"/>
    <mergeCell ref="E47:F47"/>
    <mergeCell ref="A48:D48"/>
    <mergeCell ref="E48:F48"/>
    <mergeCell ref="B43:D43"/>
    <mergeCell ref="E43:F43"/>
    <mergeCell ref="B44:D44"/>
    <mergeCell ref="E44:F44"/>
    <mergeCell ref="B45:D45"/>
    <mergeCell ref="E45:F45"/>
    <mergeCell ref="A52:D52"/>
    <mergeCell ref="E52:F52"/>
    <mergeCell ref="B53:D53"/>
    <mergeCell ref="E53:F53"/>
    <mergeCell ref="A54:D54"/>
    <mergeCell ref="E54:F54"/>
    <mergeCell ref="B49:D49"/>
    <mergeCell ref="E49:F49"/>
    <mergeCell ref="A50:D50"/>
    <mergeCell ref="E50:F50"/>
    <mergeCell ref="B51:D51"/>
    <mergeCell ref="E51:F51"/>
    <mergeCell ref="B58:D58"/>
    <mergeCell ref="E58:F58"/>
    <mergeCell ref="B59:D59"/>
    <mergeCell ref="E59:F59"/>
    <mergeCell ref="A60:D60"/>
    <mergeCell ref="E60:F60"/>
    <mergeCell ref="B55:D55"/>
    <mergeCell ref="E55:F55"/>
    <mergeCell ref="B56:D56"/>
    <mergeCell ref="E56:F56"/>
    <mergeCell ref="A57:D57"/>
    <mergeCell ref="E57:F57"/>
    <mergeCell ref="B65:D65"/>
    <mergeCell ref="E65:F65"/>
    <mergeCell ref="B66:D66"/>
    <mergeCell ref="E66:F66"/>
    <mergeCell ref="B67:D67"/>
    <mergeCell ref="E67:F67"/>
    <mergeCell ref="A61:F61"/>
    <mergeCell ref="B62:D62"/>
    <mergeCell ref="E62:F62"/>
    <mergeCell ref="B63:D63"/>
    <mergeCell ref="E63:F63"/>
    <mergeCell ref="B64:D64"/>
    <mergeCell ref="E64:F64"/>
    <mergeCell ref="B71:D71"/>
    <mergeCell ref="E71:F71"/>
    <mergeCell ref="B72:D72"/>
    <mergeCell ref="E72:F72"/>
    <mergeCell ref="B73:D73"/>
    <mergeCell ref="E73:F73"/>
    <mergeCell ref="B68:D68"/>
    <mergeCell ref="E68:F68"/>
    <mergeCell ref="B69:D69"/>
    <mergeCell ref="E69:F69"/>
    <mergeCell ref="B70:D70"/>
    <mergeCell ref="E70:F70"/>
    <mergeCell ref="B77:D77"/>
    <mergeCell ref="E77:F77"/>
    <mergeCell ref="B78:D78"/>
    <mergeCell ref="E78:F78"/>
    <mergeCell ref="B79:D79"/>
    <mergeCell ref="E79:F79"/>
    <mergeCell ref="B74:D74"/>
    <mergeCell ref="E74:F74"/>
    <mergeCell ref="B75:D75"/>
    <mergeCell ref="E75:F75"/>
    <mergeCell ref="B76:D76"/>
    <mergeCell ref="E76:F76"/>
    <mergeCell ref="B83:D83"/>
    <mergeCell ref="E83:F83"/>
    <mergeCell ref="B84:D84"/>
    <mergeCell ref="E84:F84"/>
    <mergeCell ref="B86:D86"/>
    <mergeCell ref="E86:F86"/>
    <mergeCell ref="B80:D80"/>
    <mergeCell ref="E80:F80"/>
    <mergeCell ref="B81:D81"/>
    <mergeCell ref="E81:F81"/>
    <mergeCell ref="B82:D82"/>
    <mergeCell ref="E82:F82"/>
    <mergeCell ref="B85:D85"/>
    <mergeCell ref="E85:F85"/>
    <mergeCell ref="B90:D90"/>
    <mergeCell ref="E90:F90"/>
    <mergeCell ref="B91:D91"/>
    <mergeCell ref="E91:F91"/>
    <mergeCell ref="B92:D92"/>
    <mergeCell ref="E92:F92"/>
    <mergeCell ref="B87:D87"/>
    <mergeCell ref="E87:F87"/>
    <mergeCell ref="B88:D88"/>
    <mergeCell ref="E88:F88"/>
    <mergeCell ref="B89:D89"/>
    <mergeCell ref="E89:F89"/>
    <mergeCell ref="A97:D97"/>
    <mergeCell ref="E97:F97"/>
    <mergeCell ref="A98:D98"/>
    <mergeCell ref="E98:F98"/>
    <mergeCell ref="A101:F101"/>
    <mergeCell ref="C103:D103"/>
    <mergeCell ref="A93:D93"/>
    <mergeCell ref="E93:F93"/>
    <mergeCell ref="A94:D94"/>
    <mergeCell ref="E94:F94"/>
    <mergeCell ref="A95:D95"/>
    <mergeCell ref="E95:F95"/>
    <mergeCell ref="E121:F121"/>
    <mergeCell ref="E124:F124"/>
    <mergeCell ref="C110:D110"/>
    <mergeCell ref="C111:D111"/>
    <mergeCell ref="A114:F114"/>
    <mergeCell ref="D115:E115"/>
    <mergeCell ref="D117:F117"/>
    <mergeCell ref="E120:F120"/>
    <mergeCell ref="B104:D104"/>
    <mergeCell ref="C105:D105"/>
    <mergeCell ref="C106:D106"/>
    <mergeCell ref="C107:D107"/>
    <mergeCell ref="B108:D108"/>
    <mergeCell ref="C109:D109"/>
  </mergeCells>
  <pageMargins left="0.9055118110236221" right="0.51181102362204722" top="0.55118110236220474" bottom="0.35433070866141736" header="0" footer="0"/>
  <pageSetup paperSize="9" scale="93" fitToHeight="10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view="pageBreakPreview" topLeftCell="A65" zoomScale="130" zoomScaleNormal="100" zoomScaleSheetLayoutView="130" workbookViewId="0">
      <selection activeCell="E88" sqref="E88:F88"/>
    </sheetView>
  </sheetViews>
  <sheetFormatPr defaultColWidth="9.140625" defaultRowHeight="15" x14ac:dyDescent="0.25"/>
  <cols>
    <col min="1" max="1" width="5.5703125" style="45" customWidth="1"/>
    <col min="2" max="2" width="22" style="45" customWidth="1"/>
    <col min="3" max="3" width="27.7109375" style="45" customWidth="1"/>
    <col min="4" max="4" width="20.42578125" style="45" customWidth="1"/>
    <col min="5" max="5" width="10.42578125" style="45" customWidth="1"/>
    <col min="6" max="6" width="9.28515625" style="45" customWidth="1"/>
    <col min="7" max="7" width="12.85546875" style="45" customWidth="1"/>
    <col min="8" max="8" width="21.28515625" style="45" customWidth="1"/>
    <col min="9" max="9" width="9.140625" style="45"/>
    <col min="10" max="10" width="13.7109375" style="45" customWidth="1"/>
    <col min="11" max="16384" width="9.140625" style="45"/>
  </cols>
  <sheetData>
    <row r="1" spans="1:7" x14ac:dyDescent="0.25">
      <c r="C1" s="17"/>
      <c r="D1" s="235" t="s">
        <v>0</v>
      </c>
      <c r="E1" s="235"/>
      <c r="F1" s="235"/>
      <c r="G1" s="46"/>
    </row>
    <row r="2" spans="1:7" x14ac:dyDescent="0.25">
      <c r="C2" s="17"/>
      <c r="D2" s="235" t="s">
        <v>157</v>
      </c>
      <c r="E2" s="235"/>
      <c r="F2" s="235"/>
    </row>
    <row r="3" spans="1:7" x14ac:dyDescent="0.25">
      <c r="C3" s="17"/>
      <c r="D3" s="235" t="s">
        <v>154</v>
      </c>
      <c r="E3" s="235"/>
      <c r="F3" s="235"/>
      <c r="G3" s="46"/>
    </row>
    <row r="4" spans="1:7" x14ac:dyDescent="0.25">
      <c r="C4" s="235" t="s">
        <v>187</v>
      </c>
      <c r="D4" s="235"/>
      <c r="E4" s="235"/>
      <c r="F4" s="235"/>
    </row>
    <row r="6" spans="1:7" hidden="1" x14ac:dyDescent="0.25"/>
    <row r="7" spans="1:7" x14ac:dyDescent="0.25">
      <c r="A7" s="147" t="s">
        <v>2</v>
      </c>
      <c r="B7" s="147"/>
      <c r="C7" s="147"/>
      <c r="D7" s="147"/>
      <c r="E7" s="147"/>
      <c r="F7" s="147"/>
    </row>
    <row r="8" spans="1:7" x14ac:dyDescent="0.25">
      <c r="A8" s="147" t="s">
        <v>3</v>
      </c>
      <c r="B8" s="147"/>
      <c r="C8" s="147"/>
      <c r="D8" s="147"/>
      <c r="E8" s="147"/>
      <c r="F8" s="147"/>
    </row>
    <row r="9" spans="1:7" x14ac:dyDescent="0.25">
      <c r="A9" s="147" t="s">
        <v>156</v>
      </c>
      <c r="B9" s="147"/>
      <c r="C9" s="147"/>
      <c r="D9" s="147"/>
      <c r="E9" s="147"/>
      <c r="F9" s="147"/>
    </row>
    <row r="10" spans="1:7" ht="16.5" customHeight="1" x14ac:dyDescent="0.25">
      <c r="A10" s="146" t="s">
        <v>155</v>
      </c>
      <c r="B10" s="146"/>
      <c r="C10" s="146"/>
      <c r="D10" s="146"/>
      <c r="E10" s="146"/>
      <c r="F10" s="146"/>
    </row>
    <row r="11" spans="1:7" ht="9" customHeight="1" x14ac:dyDescent="0.25"/>
    <row r="12" spans="1:7" ht="43.5" customHeight="1" x14ac:dyDescent="0.25">
      <c r="A12" s="44" t="s">
        <v>5</v>
      </c>
      <c r="B12" s="231" t="s">
        <v>7</v>
      </c>
      <c r="C12" s="232"/>
      <c r="D12" s="233"/>
      <c r="E12" s="143" t="s">
        <v>8</v>
      </c>
      <c r="F12" s="143"/>
    </row>
    <row r="13" spans="1:7" ht="13.5" customHeight="1" x14ac:dyDescent="0.25">
      <c r="A13" s="48">
        <v>1</v>
      </c>
      <c r="B13" s="234">
        <v>2</v>
      </c>
      <c r="C13" s="137"/>
      <c r="D13" s="138"/>
      <c r="E13" s="234">
        <v>3</v>
      </c>
      <c r="F13" s="138"/>
    </row>
    <row r="14" spans="1:7" ht="13.5" customHeight="1" x14ac:dyDescent="0.25">
      <c r="A14" s="142" t="s">
        <v>16</v>
      </c>
      <c r="B14" s="142"/>
      <c r="C14" s="142"/>
      <c r="D14" s="142"/>
      <c r="E14" s="142"/>
      <c r="F14" s="142"/>
    </row>
    <row r="15" spans="1:7" x14ac:dyDescent="0.25">
      <c r="A15" s="48">
        <v>1</v>
      </c>
      <c r="B15" s="88" t="s">
        <v>12</v>
      </c>
      <c r="C15" s="89"/>
      <c r="D15" s="90"/>
      <c r="E15" s="139">
        <v>131675.818</v>
      </c>
      <c r="F15" s="140"/>
    </row>
    <row r="16" spans="1:7" x14ac:dyDescent="0.25">
      <c r="A16" s="130" t="s">
        <v>18</v>
      </c>
      <c r="B16" s="131"/>
      <c r="C16" s="131"/>
      <c r="D16" s="131"/>
      <c r="E16" s="150">
        <f>SUM(E15:F15)</f>
        <v>131675.818</v>
      </c>
      <c r="F16" s="151"/>
    </row>
    <row r="17" spans="1:8" x14ac:dyDescent="0.25">
      <c r="A17" s="142" t="s">
        <v>19</v>
      </c>
      <c r="B17" s="142"/>
      <c r="C17" s="142"/>
      <c r="D17" s="142"/>
      <c r="E17" s="142"/>
      <c r="F17" s="142"/>
    </row>
    <row r="18" spans="1:8" ht="15" customHeight="1" x14ac:dyDescent="0.25">
      <c r="A18" s="6">
        <v>2</v>
      </c>
      <c r="B18" s="152" t="s">
        <v>12</v>
      </c>
      <c r="C18" s="152"/>
      <c r="D18" s="152"/>
      <c r="E18" s="148">
        <v>94324.182000000001</v>
      </c>
      <c r="F18" s="148"/>
    </row>
    <row r="19" spans="1:8" x14ac:dyDescent="0.25">
      <c r="A19" s="142" t="s">
        <v>13</v>
      </c>
      <c r="B19" s="142"/>
      <c r="C19" s="142"/>
      <c r="D19" s="142"/>
      <c r="E19" s="153">
        <f>SUM(E18:F18)</f>
        <v>94324.182000000001</v>
      </c>
      <c r="F19" s="153"/>
    </row>
    <row r="20" spans="1:8" x14ac:dyDescent="0.25">
      <c r="A20" s="142" t="s">
        <v>193</v>
      </c>
      <c r="B20" s="142"/>
      <c r="C20" s="142"/>
      <c r="D20" s="142"/>
      <c r="E20" s="142"/>
      <c r="F20" s="142"/>
    </row>
    <row r="21" spans="1:8" s="11" customFormat="1" x14ac:dyDescent="0.25">
      <c r="A21" s="230" t="s">
        <v>9</v>
      </c>
      <c r="B21" s="230"/>
      <c r="C21" s="230"/>
      <c r="D21" s="230"/>
      <c r="E21" s="230"/>
      <c r="F21" s="230"/>
      <c r="H21" s="13"/>
    </row>
    <row r="22" spans="1:8" s="11" customFormat="1" hidden="1" x14ac:dyDescent="0.25">
      <c r="A22" s="10">
        <v>5</v>
      </c>
      <c r="B22" s="227" t="s">
        <v>114</v>
      </c>
      <c r="C22" s="228"/>
      <c r="D22" s="229"/>
      <c r="E22" s="189"/>
      <c r="F22" s="190"/>
      <c r="H22" s="13"/>
    </row>
    <row r="23" spans="1:8" s="11" customFormat="1" hidden="1" x14ac:dyDescent="0.25">
      <c r="A23" s="10"/>
      <c r="B23" s="206"/>
      <c r="C23" s="207"/>
      <c r="D23" s="208"/>
      <c r="E23" s="225">
        <v>0</v>
      </c>
      <c r="F23" s="226"/>
      <c r="H23" s="13"/>
    </row>
    <row r="24" spans="1:8" s="11" customFormat="1" hidden="1" x14ac:dyDescent="0.25">
      <c r="A24" s="10"/>
      <c r="B24" s="206"/>
      <c r="C24" s="207"/>
      <c r="D24" s="208"/>
      <c r="E24" s="225">
        <v>0</v>
      </c>
      <c r="F24" s="226"/>
      <c r="H24" s="13"/>
    </row>
    <row r="25" spans="1:8" s="11" customFormat="1" ht="15.75" x14ac:dyDescent="0.25">
      <c r="A25" s="10" t="s">
        <v>158</v>
      </c>
      <c r="B25" s="196" t="s">
        <v>115</v>
      </c>
      <c r="C25" s="197"/>
      <c r="D25" s="198"/>
      <c r="E25" s="225"/>
      <c r="F25" s="226"/>
      <c r="H25" s="13"/>
    </row>
    <row r="26" spans="1:8" s="11" customFormat="1" x14ac:dyDescent="0.25">
      <c r="A26" s="10" t="s">
        <v>159</v>
      </c>
      <c r="B26" s="206" t="s">
        <v>99</v>
      </c>
      <c r="C26" s="207"/>
      <c r="D26" s="208"/>
      <c r="E26" s="218">
        <f>9370-221.78203</f>
        <v>9148.2179699999997</v>
      </c>
      <c r="F26" s="219"/>
      <c r="H26" s="13"/>
    </row>
    <row r="27" spans="1:8" s="11" customFormat="1" x14ac:dyDescent="0.25">
      <c r="A27" s="10" t="s">
        <v>160</v>
      </c>
      <c r="B27" s="206" t="s">
        <v>100</v>
      </c>
      <c r="C27" s="207"/>
      <c r="D27" s="208"/>
      <c r="E27" s="218">
        <f>54420-15866.31308</f>
        <v>38553.68692</v>
      </c>
      <c r="F27" s="219"/>
      <c r="H27" s="13"/>
    </row>
    <row r="28" spans="1:8" s="11" customFormat="1" ht="30" customHeight="1" x14ac:dyDescent="0.25">
      <c r="A28" s="10" t="s">
        <v>161</v>
      </c>
      <c r="B28" s="206" t="s">
        <v>101</v>
      </c>
      <c r="C28" s="207"/>
      <c r="D28" s="208"/>
      <c r="E28" s="218">
        <f>19680-1770.4549</f>
        <v>17909.545099999999</v>
      </c>
      <c r="F28" s="219"/>
      <c r="H28" s="13"/>
    </row>
    <row r="29" spans="1:8" s="11" customFormat="1" x14ac:dyDescent="0.25">
      <c r="A29" s="10" t="s">
        <v>162</v>
      </c>
      <c r="B29" s="206" t="s">
        <v>102</v>
      </c>
      <c r="C29" s="207"/>
      <c r="D29" s="208"/>
      <c r="E29" s="218">
        <f>4848-728.1876</f>
        <v>4119.8123999999998</v>
      </c>
      <c r="F29" s="219"/>
      <c r="H29" s="13"/>
    </row>
    <row r="30" spans="1:8" s="11" customFormat="1" x14ac:dyDescent="0.25">
      <c r="A30" s="10" t="s">
        <v>163</v>
      </c>
      <c r="B30" s="206" t="s">
        <v>103</v>
      </c>
      <c r="C30" s="207"/>
      <c r="D30" s="208"/>
      <c r="E30" s="218">
        <f>32301-1251.79014</f>
        <v>31049.209859999999</v>
      </c>
      <c r="F30" s="219"/>
      <c r="H30" s="13"/>
    </row>
    <row r="31" spans="1:8" s="11" customFormat="1" ht="30" customHeight="1" x14ac:dyDescent="0.25">
      <c r="A31" s="10" t="s">
        <v>164</v>
      </c>
      <c r="B31" s="206" t="s">
        <v>104</v>
      </c>
      <c r="C31" s="207"/>
      <c r="D31" s="208"/>
      <c r="E31" s="218">
        <f>12052-1538.93782</f>
        <v>10513.062180000001</v>
      </c>
      <c r="F31" s="219"/>
      <c r="H31" s="13"/>
    </row>
    <row r="32" spans="1:8" s="11" customFormat="1" ht="30" hidden="1" customHeight="1" x14ac:dyDescent="0.25">
      <c r="A32" s="10" t="s">
        <v>64</v>
      </c>
      <c r="B32" s="206" t="s">
        <v>105</v>
      </c>
      <c r="C32" s="207"/>
      <c r="D32" s="208"/>
      <c r="E32" s="218">
        <v>0</v>
      </c>
      <c r="F32" s="219"/>
      <c r="H32" s="13"/>
    </row>
    <row r="33" spans="1:8" s="11" customFormat="1" x14ac:dyDescent="0.25">
      <c r="A33" s="10" t="s">
        <v>165</v>
      </c>
      <c r="B33" s="206" t="s">
        <v>106</v>
      </c>
      <c r="C33" s="207"/>
      <c r="D33" s="208"/>
      <c r="E33" s="218">
        <f>20000-12449.26592</f>
        <v>7550.7340800000002</v>
      </c>
      <c r="F33" s="219"/>
      <c r="H33" s="13"/>
    </row>
    <row r="34" spans="1:8" s="11" customFormat="1" x14ac:dyDescent="0.25">
      <c r="A34" s="10" t="s">
        <v>166</v>
      </c>
      <c r="B34" s="206" t="s">
        <v>107</v>
      </c>
      <c r="C34" s="207"/>
      <c r="D34" s="208"/>
      <c r="E34" s="218">
        <f>5700-502.73544</f>
        <v>5197.2645599999996</v>
      </c>
      <c r="F34" s="219"/>
      <c r="H34" s="13"/>
    </row>
    <row r="35" spans="1:8" s="11" customFormat="1" x14ac:dyDescent="0.25">
      <c r="A35" s="10" t="s">
        <v>167</v>
      </c>
      <c r="B35" s="206" t="s">
        <v>108</v>
      </c>
      <c r="C35" s="207"/>
      <c r="D35" s="208"/>
      <c r="E35" s="218">
        <f>24130-12961.66188</f>
        <v>11168.33812</v>
      </c>
      <c r="F35" s="219"/>
      <c r="H35" s="13"/>
    </row>
    <row r="36" spans="1:8" s="11" customFormat="1" x14ac:dyDescent="0.25">
      <c r="A36" s="10" t="s">
        <v>168</v>
      </c>
      <c r="B36" s="206" t="s">
        <v>109</v>
      </c>
      <c r="C36" s="207"/>
      <c r="D36" s="208"/>
      <c r="E36" s="218">
        <f>30000-13598.73435</f>
        <v>16401.265650000001</v>
      </c>
      <c r="F36" s="219"/>
      <c r="H36" s="13"/>
    </row>
    <row r="37" spans="1:8" s="11" customFormat="1" ht="45" customHeight="1" x14ac:dyDescent="0.25">
      <c r="A37" s="10" t="s">
        <v>169</v>
      </c>
      <c r="B37" s="206" t="s">
        <v>110</v>
      </c>
      <c r="C37" s="207"/>
      <c r="D37" s="208"/>
      <c r="E37" s="204">
        <f>19980.633-1685.07659</f>
        <v>18295.556410000001</v>
      </c>
      <c r="F37" s="205"/>
      <c r="H37" s="13"/>
    </row>
    <row r="38" spans="1:8" s="11" customFormat="1" ht="30" customHeight="1" x14ac:dyDescent="0.25">
      <c r="A38" s="10" t="s">
        <v>170</v>
      </c>
      <c r="B38" s="206" t="s">
        <v>111</v>
      </c>
      <c r="C38" s="207"/>
      <c r="D38" s="208"/>
      <c r="E38" s="218">
        <f>2700-761.50048</f>
        <v>1938.4995199999998</v>
      </c>
      <c r="F38" s="219"/>
      <c r="H38" s="13"/>
    </row>
    <row r="39" spans="1:8" s="11" customFormat="1" ht="30" customHeight="1" x14ac:dyDescent="0.25">
      <c r="A39" s="10" t="s">
        <v>171</v>
      </c>
      <c r="B39" s="206" t="s">
        <v>112</v>
      </c>
      <c r="C39" s="207"/>
      <c r="D39" s="208"/>
      <c r="E39" s="218">
        <f>4945-276.89784</f>
        <v>4668.1021600000004</v>
      </c>
      <c r="F39" s="219"/>
      <c r="H39" s="13"/>
    </row>
    <row r="40" spans="1:8" s="11" customFormat="1" x14ac:dyDescent="0.25">
      <c r="A40" s="10" t="s">
        <v>172</v>
      </c>
      <c r="B40" s="206" t="s">
        <v>113</v>
      </c>
      <c r="C40" s="207"/>
      <c r="D40" s="208"/>
      <c r="E40" s="218">
        <f>860-30.77978</f>
        <v>829.22022000000004</v>
      </c>
      <c r="F40" s="219"/>
      <c r="H40" s="13"/>
    </row>
    <row r="41" spans="1:8" s="11" customFormat="1" x14ac:dyDescent="0.25">
      <c r="A41" s="10" t="s">
        <v>173</v>
      </c>
      <c r="B41" s="206" t="s">
        <v>50</v>
      </c>
      <c r="C41" s="207"/>
      <c r="D41" s="208"/>
      <c r="E41" s="218">
        <f>13846-92.23624</f>
        <v>13753.76376</v>
      </c>
      <c r="F41" s="219"/>
      <c r="H41" s="13"/>
    </row>
    <row r="42" spans="1:8" s="11" customFormat="1" x14ac:dyDescent="0.25">
      <c r="A42" s="10" t="s">
        <v>174</v>
      </c>
      <c r="B42" s="206" t="s">
        <v>51</v>
      </c>
      <c r="C42" s="207"/>
      <c r="D42" s="208"/>
      <c r="E42" s="218">
        <f>4930-3.07402</f>
        <v>4926.92598</v>
      </c>
      <c r="F42" s="219"/>
      <c r="H42" s="13"/>
    </row>
    <row r="43" spans="1:8" s="11" customFormat="1" x14ac:dyDescent="0.25">
      <c r="A43" s="12">
        <v>4</v>
      </c>
      <c r="B43" s="199" t="s">
        <v>53</v>
      </c>
      <c r="C43" s="200"/>
      <c r="D43" s="201"/>
      <c r="E43" s="218"/>
      <c r="F43" s="219"/>
      <c r="H43" s="13"/>
    </row>
    <row r="44" spans="1:8" s="11" customFormat="1" x14ac:dyDescent="0.25">
      <c r="A44" s="10" t="s">
        <v>175</v>
      </c>
      <c r="B44" s="191" t="s">
        <v>116</v>
      </c>
      <c r="C44" s="192"/>
      <c r="D44" s="193"/>
      <c r="E44" s="218">
        <f>46080-5199.18084</f>
        <v>40880.819159999999</v>
      </c>
      <c r="F44" s="219"/>
      <c r="H44" s="13"/>
    </row>
    <row r="45" spans="1:8" s="11" customFormat="1" hidden="1" x14ac:dyDescent="0.25">
      <c r="A45" s="10" t="s">
        <v>76</v>
      </c>
      <c r="B45" s="191" t="s">
        <v>117</v>
      </c>
      <c r="C45" s="192"/>
      <c r="D45" s="193"/>
      <c r="E45" s="218">
        <v>0</v>
      </c>
      <c r="F45" s="219"/>
      <c r="H45" s="13"/>
    </row>
    <row r="46" spans="1:8" s="11" customFormat="1" hidden="1" x14ac:dyDescent="0.25">
      <c r="A46" s="10" t="s">
        <v>77</v>
      </c>
      <c r="B46" s="191" t="s">
        <v>118</v>
      </c>
      <c r="C46" s="192"/>
      <c r="D46" s="193"/>
      <c r="E46" s="218">
        <v>0</v>
      </c>
      <c r="F46" s="219"/>
      <c r="H46" s="13"/>
    </row>
    <row r="47" spans="1:8" s="11" customFormat="1" x14ac:dyDescent="0.25">
      <c r="A47" s="10"/>
      <c r="B47" s="220" t="s">
        <v>20</v>
      </c>
      <c r="C47" s="221"/>
      <c r="D47" s="222"/>
      <c r="E47" s="223">
        <f>SUM(E22:F46)</f>
        <v>236904.02405000001</v>
      </c>
      <c r="F47" s="224"/>
      <c r="H47" s="13"/>
    </row>
    <row r="48" spans="1:8" s="11" customFormat="1" x14ac:dyDescent="0.25">
      <c r="A48" s="196" t="s">
        <v>54</v>
      </c>
      <c r="B48" s="197"/>
      <c r="C48" s="197"/>
      <c r="D48" s="198"/>
      <c r="E48" s="189"/>
      <c r="F48" s="190"/>
      <c r="H48" s="13"/>
    </row>
    <row r="49" spans="1:8" s="11" customFormat="1" ht="27" customHeight="1" x14ac:dyDescent="0.25">
      <c r="A49" s="12">
        <v>5</v>
      </c>
      <c r="B49" s="180" t="s">
        <v>134</v>
      </c>
      <c r="C49" s="181"/>
      <c r="D49" s="182"/>
      <c r="E49" s="218">
        <f>58020-17778.38448</f>
        <v>40241.615519999999</v>
      </c>
      <c r="F49" s="219"/>
      <c r="H49" s="13">
        <f>E47+E49+E51+E53+E55+E58</f>
        <v>316672.48161000002</v>
      </c>
    </row>
    <row r="50" spans="1:8" s="11" customFormat="1" x14ac:dyDescent="0.25">
      <c r="A50" s="186" t="s">
        <v>55</v>
      </c>
      <c r="B50" s="187"/>
      <c r="C50" s="187"/>
      <c r="D50" s="188"/>
      <c r="E50" s="189"/>
      <c r="F50" s="190"/>
      <c r="H50" s="13"/>
    </row>
    <row r="51" spans="1:8" s="11" customFormat="1" x14ac:dyDescent="0.25">
      <c r="A51" s="12">
        <v>6</v>
      </c>
      <c r="B51" s="191" t="s">
        <v>135</v>
      </c>
      <c r="C51" s="192"/>
      <c r="D51" s="193"/>
      <c r="E51" s="218">
        <v>3016.489</v>
      </c>
      <c r="F51" s="219"/>
      <c r="H51" s="13" t="e">
        <f>#REF!+#REF!</f>
        <v>#REF!</v>
      </c>
    </row>
    <row r="52" spans="1:8" s="11" customFormat="1" ht="15" customHeight="1" x14ac:dyDescent="0.25">
      <c r="A52" s="186" t="s">
        <v>137</v>
      </c>
      <c r="B52" s="187"/>
      <c r="C52" s="187"/>
      <c r="D52" s="188"/>
      <c r="E52" s="218"/>
      <c r="F52" s="219"/>
      <c r="H52" s="13"/>
    </row>
    <row r="53" spans="1:8" s="11" customFormat="1" x14ac:dyDescent="0.25">
      <c r="A53" s="12">
        <v>7</v>
      </c>
      <c r="B53" s="180" t="s">
        <v>56</v>
      </c>
      <c r="C53" s="181"/>
      <c r="D53" s="182"/>
      <c r="E53" s="218">
        <f>22553.339-14.98146</f>
        <v>22538.357540000001</v>
      </c>
      <c r="F53" s="219"/>
      <c r="H53" s="13"/>
    </row>
    <row r="54" spans="1:8" s="11" customFormat="1" x14ac:dyDescent="0.25">
      <c r="A54" s="186" t="s">
        <v>138</v>
      </c>
      <c r="B54" s="187"/>
      <c r="C54" s="187"/>
      <c r="D54" s="188"/>
      <c r="E54" s="189"/>
      <c r="F54" s="190"/>
      <c r="H54" s="13"/>
    </row>
    <row r="55" spans="1:8" s="11" customFormat="1" x14ac:dyDescent="0.25">
      <c r="A55" s="12">
        <v>8</v>
      </c>
      <c r="B55" s="191" t="s">
        <v>139</v>
      </c>
      <c r="C55" s="192"/>
      <c r="D55" s="193"/>
      <c r="E55" s="218">
        <v>6751.9</v>
      </c>
      <c r="F55" s="219"/>
      <c r="H55" s="13"/>
    </row>
    <row r="56" spans="1:8" s="11" customFormat="1" ht="15" hidden="1" customHeight="1" x14ac:dyDescent="0.25">
      <c r="A56" s="12">
        <v>13</v>
      </c>
      <c r="B56" s="180" t="s">
        <v>140</v>
      </c>
      <c r="C56" s="181"/>
      <c r="D56" s="182"/>
      <c r="E56" s="218">
        <v>0</v>
      </c>
      <c r="F56" s="219"/>
      <c r="H56" s="13"/>
    </row>
    <row r="57" spans="1:8" s="11" customFormat="1" x14ac:dyDescent="0.25">
      <c r="A57" s="186" t="s">
        <v>149</v>
      </c>
      <c r="B57" s="187"/>
      <c r="C57" s="187"/>
      <c r="D57" s="188"/>
      <c r="E57" s="218"/>
      <c r="F57" s="219"/>
      <c r="H57" s="13"/>
    </row>
    <row r="58" spans="1:8" s="11" customFormat="1" x14ac:dyDescent="0.25">
      <c r="A58" s="12">
        <v>9</v>
      </c>
      <c r="B58" s="180" t="s">
        <v>141</v>
      </c>
      <c r="C58" s="181"/>
      <c r="D58" s="182"/>
      <c r="E58" s="218">
        <f>7510-289.9045</f>
        <v>7220.0955000000004</v>
      </c>
      <c r="F58" s="219"/>
      <c r="H58" s="13"/>
    </row>
    <row r="59" spans="1:8" s="11" customFormat="1" x14ac:dyDescent="0.25">
      <c r="A59" s="10"/>
      <c r="B59" s="220" t="s">
        <v>20</v>
      </c>
      <c r="C59" s="221"/>
      <c r="D59" s="222"/>
      <c r="E59" s="189">
        <f>SUM(E48:F58)</f>
        <v>79768.457559999995</v>
      </c>
      <c r="F59" s="190"/>
      <c r="H59" s="13">
        <f>E47+E59</f>
        <v>316672.48161000002</v>
      </c>
    </row>
    <row r="60" spans="1:8" x14ac:dyDescent="0.25">
      <c r="A60" s="142" t="s">
        <v>15</v>
      </c>
      <c r="B60" s="142"/>
      <c r="C60" s="142"/>
      <c r="D60" s="142"/>
      <c r="E60" s="149">
        <f>E47+E59</f>
        <v>316672.48161000002</v>
      </c>
      <c r="F60" s="149"/>
    </row>
    <row r="61" spans="1:8" x14ac:dyDescent="0.25">
      <c r="A61" s="130" t="s">
        <v>196</v>
      </c>
      <c r="B61" s="131"/>
      <c r="C61" s="131"/>
      <c r="D61" s="131"/>
      <c r="E61" s="131"/>
      <c r="F61" s="132"/>
    </row>
    <row r="62" spans="1:8" ht="16.5" customHeight="1" x14ac:dyDescent="0.25">
      <c r="A62" s="43" t="s">
        <v>176</v>
      </c>
      <c r="B62" s="109" t="s">
        <v>115</v>
      </c>
      <c r="C62" s="110"/>
      <c r="D62" s="111"/>
      <c r="E62" s="216"/>
      <c r="F62" s="217"/>
    </row>
    <row r="63" spans="1:8" s="11" customFormat="1" x14ac:dyDescent="0.25">
      <c r="A63" s="10" t="s">
        <v>82</v>
      </c>
      <c r="B63" s="206" t="s">
        <v>99</v>
      </c>
      <c r="C63" s="207"/>
      <c r="D63" s="208"/>
      <c r="E63" s="194">
        <f>641.3886</f>
        <v>641.3886</v>
      </c>
      <c r="F63" s="195"/>
      <c r="G63" s="30">
        <v>221.78202999999999</v>
      </c>
      <c r="H63" s="31"/>
    </row>
    <row r="64" spans="1:8" s="11" customFormat="1" ht="15" hidden="1" customHeight="1" x14ac:dyDescent="0.25">
      <c r="A64" s="10"/>
      <c r="B64" s="211" t="s">
        <v>100</v>
      </c>
      <c r="C64" s="212"/>
      <c r="D64" s="213"/>
      <c r="E64" s="214"/>
      <c r="F64" s="215"/>
      <c r="G64" s="32"/>
      <c r="H64" s="33"/>
    </row>
    <row r="65" spans="1:8" s="11" customFormat="1" ht="30" customHeight="1" x14ac:dyDescent="0.25">
      <c r="A65" s="10" t="s">
        <v>177</v>
      </c>
      <c r="B65" s="206" t="s">
        <v>101</v>
      </c>
      <c r="C65" s="207"/>
      <c r="D65" s="208"/>
      <c r="E65" s="194">
        <f>971.00312+632.59082</f>
        <v>1603.59394</v>
      </c>
      <c r="F65" s="195"/>
      <c r="G65" s="30">
        <v>1770.4549</v>
      </c>
      <c r="H65" s="31"/>
    </row>
    <row r="66" spans="1:8" s="11" customFormat="1" x14ac:dyDescent="0.25">
      <c r="A66" s="10" t="s">
        <v>198</v>
      </c>
      <c r="B66" s="206" t="s">
        <v>102</v>
      </c>
      <c r="C66" s="207"/>
      <c r="D66" s="208"/>
      <c r="E66" s="194">
        <f>2715.3216</f>
        <v>2715.3216000000002</v>
      </c>
      <c r="F66" s="195"/>
      <c r="G66" s="30">
        <v>728.18759999999997</v>
      </c>
      <c r="H66" s="31"/>
    </row>
    <row r="67" spans="1:8" s="11" customFormat="1" hidden="1" x14ac:dyDescent="0.25">
      <c r="A67" s="10"/>
      <c r="B67" s="206" t="s">
        <v>103</v>
      </c>
      <c r="C67" s="207"/>
      <c r="D67" s="208"/>
      <c r="E67" s="194"/>
      <c r="F67" s="195"/>
      <c r="G67" s="30">
        <v>1251.7901400000001</v>
      </c>
      <c r="H67" s="31"/>
    </row>
    <row r="68" spans="1:8" s="11" customFormat="1" ht="30" customHeight="1" x14ac:dyDescent="0.25">
      <c r="A68" s="10" t="s">
        <v>199</v>
      </c>
      <c r="B68" s="206" t="s">
        <v>104</v>
      </c>
      <c r="C68" s="207"/>
      <c r="D68" s="208"/>
      <c r="E68" s="194">
        <f>11779.40664</f>
        <v>11779.406639999999</v>
      </c>
      <c r="F68" s="195"/>
      <c r="G68" s="30">
        <v>1538.9378200000001</v>
      </c>
      <c r="H68" s="31"/>
    </row>
    <row r="69" spans="1:8" s="11" customFormat="1" ht="30" hidden="1" customHeight="1" x14ac:dyDescent="0.25">
      <c r="A69" s="10"/>
      <c r="B69" s="211" t="s">
        <v>105</v>
      </c>
      <c r="C69" s="212"/>
      <c r="D69" s="213"/>
      <c r="E69" s="214"/>
      <c r="F69" s="215"/>
      <c r="G69" s="32"/>
      <c r="H69" s="33"/>
    </row>
    <row r="70" spans="1:8" s="11" customFormat="1" ht="15" hidden="1" customHeight="1" x14ac:dyDescent="0.25">
      <c r="A70" s="10"/>
      <c r="B70" s="211" t="s">
        <v>106</v>
      </c>
      <c r="C70" s="212"/>
      <c r="D70" s="213"/>
      <c r="E70" s="214"/>
      <c r="F70" s="215"/>
      <c r="G70" s="32"/>
      <c r="H70" s="33"/>
    </row>
    <row r="71" spans="1:8" s="11" customFormat="1" hidden="1" x14ac:dyDescent="0.25">
      <c r="A71" s="10"/>
      <c r="B71" s="206" t="s">
        <v>107</v>
      </c>
      <c r="C71" s="207"/>
      <c r="D71" s="208"/>
      <c r="E71" s="194"/>
      <c r="F71" s="195"/>
      <c r="G71" s="30">
        <v>502.73543999999998</v>
      </c>
      <c r="H71" s="31"/>
    </row>
    <row r="72" spans="1:8" s="11" customFormat="1" hidden="1" x14ac:dyDescent="0.25">
      <c r="A72" s="10"/>
      <c r="B72" s="206" t="s">
        <v>108</v>
      </c>
      <c r="C72" s="207"/>
      <c r="D72" s="208"/>
      <c r="E72" s="194"/>
      <c r="F72" s="195"/>
      <c r="G72" s="30">
        <v>12961.66188</v>
      </c>
      <c r="H72" s="31"/>
    </row>
    <row r="73" spans="1:8" s="11" customFormat="1" x14ac:dyDescent="0.25">
      <c r="A73" s="10" t="s">
        <v>200</v>
      </c>
      <c r="B73" s="206" t="s">
        <v>109</v>
      </c>
      <c r="C73" s="207"/>
      <c r="D73" s="208"/>
      <c r="E73" s="194">
        <f>43.0405+502.63752+187.58815+1449.66775</f>
        <v>2182.9339199999999</v>
      </c>
      <c r="F73" s="195"/>
      <c r="G73" s="30">
        <v>13598.734350000001</v>
      </c>
      <c r="H73" s="31"/>
    </row>
    <row r="74" spans="1:8" s="11" customFormat="1" ht="45" hidden="1" customHeight="1" x14ac:dyDescent="0.25">
      <c r="A74" s="10"/>
      <c r="B74" s="206" t="s">
        <v>110</v>
      </c>
      <c r="C74" s="207"/>
      <c r="D74" s="208"/>
      <c r="E74" s="209"/>
      <c r="F74" s="210"/>
      <c r="G74" s="34">
        <v>1685.0765899999999</v>
      </c>
      <c r="H74" s="35"/>
    </row>
    <row r="75" spans="1:8" s="11" customFormat="1" ht="30" customHeight="1" x14ac:dyDescent="0.25">
      <c r="A75" s="10" t="s">
        <v>201</v>
      </c>
      <c r="B75" s="206" t="s">
        <v>111</v>
      </c>
      <c r="C75" s="207"/>
      <c r="D75" s="208"/>
      <c r="E75" s="194">
        <f>7789.27794+170.59024+4111.00082</f>
        <v>12070.868999999999</v>
      </c>
      <c r="F75" s="195"/>
      <c r="G75" s="30">
        <v>761.50048000000004</v>
      </c>
      <c r="H75" s="31"/>
    </row>
    <row r="76" spans="1:8" s="11" customFormat="1" ht="28.5" hidden="1" customHeight="1" x14ac:dyDescent="0.25">
      <c r="A76" s="10"/>
      <c r="B76" s="206" t="s">
        <v>112</v>
      </c>
      <c r="C76" s="207"/>
      <c r="D76" s="208"/>
      <c r="E76" s="194"/>
      <c r="F76" s="195"/>
      <c r="G76" s="30">
        <v>276.89783999999997</v>
      </c>
      <c r="H76" s="31"/>
    </row>
    <row r="77" spans="1:8" s="11" customFormat="1" x14ac:dyDescent="0.25">
      <c r="A77" s="10" t="s">
        <v>203</v>
      </c>
      <c r="B77" s="206" t="s">
        <v>205</v>
      </c>
      <c r="C77" s="207"/>
      <c r="D77" s="208"/>
      <c r="E77" s="194">
        <f>538.7762+252.58372</f>
        <v>791.35991999999999</v>
      </c>
      <c r="F77" s="195"/>
      <c r="G77" s="30">
        <v>30.779779999999999</v>
      </c>
      <c r="H77" s="31"/>
    </row>
    <row r="78" spans="1:8" s="11" customFormat="1" hidden="1" x14ac:dyDescent="0.25">
      <c r="A78" s="10"/>
      <c r="B78" s="206" t="s">
        <v>50</v>
      </c>
      <c r="C78" s="207"/>
      <c r="D78" s="208"/>
      <c r="E78" s="194"/>
      <c r="F78" s="195"/>
      <c r="G78" s="30">
        <v>92.236239999999995</v>
      </c>
      <c r="H78" s="31"/>
    </row>
    <row r="79" spans="1:8" s="11" customFormat="1" x14ac:dyDescent="0.25">
      <c r="A79" s="10" t="s">
        <v>204</v>
      </c>
      <c r="B79" s="206" t="s">
        <v>51</v>
      </c>
      <c r="C79" s="207"/>
      <c r="D79" s="208"/>
      <c r="E79" s="194">
        <v>3830.96558</v>
      </c>
      <c r="F79" s="195"/>
      <c r="G79" s="30">
        <v>3.07402</v>
      </c>
      <c r="H79" s="31"/>
    </row>
    <row r="80" spans="1:8" s="11" customFormat="1" x14ac:dyDescent="0.25">
      <c r="A80" s="12">
        <v>11</v>
      </c>
      <c r="B80" s="199" t="s">
        <v>53</v>
      </c>
      <c r="C80" s="200"/>
      <c r="D80" s="201"/>
      <c r="E80" s="202"/>
      <c r="F80" s="203"/>
      <c r="G80" s="30"/>
      <c r="H80" s="31"/>
    </row>
    <row r="81" spans="1:8" s="11" customFormat="1" x14ac:dyDescent="0.25">
      <c r="A81" s="10" t="s">
        <v>178</v>
      </c>
      <c r="B81" s="191" t="s">
        <v>116</v>
      </c>
      <c r="C81" s="192"/>
      <c r="D81" s="193"/>
      <c r="E81" s="194">
        <f>4646.48482+550.59626+1369.96348</f>
        <v>6567.0445600000003</v>
      </c>
      <c r="F81" s="195"/>
      <c r="G81" s="30">
        <v>5199.18084</v>
      </c>
      <c r="H81" s="31"/>
    </row>
    <row r="82" spans="1:8" s="11" customFormat="1" hidden="1" x14ac:dyDescent="0.25">
      <c r="A82" s="10" t="s">
        <v>179</v>
      </c>
      <c r="B82" s="191" t="s">
        <v>117</v>
      </c>
      <c r="C82" s="192"/>
      <c r="D82" s="193"/>
      <c r="E82" s="194"/>
      <c r="F82" s="195"/>
      <c r="G82" s="30">
        <v>2300</v>
      </c>
      <c r="H82" s="31"/>
    </row>
    <row r="83" spans="1:8" s="11" customFormat="1" hidden="1" x14ac:dyDescent="0.25">
      <c r="A83" s="10" t="s">
        <v>180</v>
      </c>
      <c r="B83" s="191" t="s">
        <v>118</v>
      </c>
      <c r="C83" s="192"/>
      <c r="D83" s="193"/>
      <c r="E83" s="194"/>
      <c r="F83" s="195"/>
      <c r="G83" s="30">
        <v>320</v>
      </c>
      <c r="H83" s="31"/>
    </row>
    <row r="84" spans="1:8" s="11" customFormat="1" ht="15" customHeight="1" x14ac:dyDescent="0.25">
      <c r="A84" s="14" t="s">
        <v>206</v>
      </c>
      <c r="B84" s="196" t="s">
        <v>210</v>
      </c>
      <c r="C84" s="197"/>
      <c r="D84" s="198"/>
      <c r="E84" s="189"/>
      <c r="F84" s="190"/>
      <c r="G84" s="36"/>
      <c r="H84" s="37"/>
    </row>
    <row r="85" spans="1:8" s="11" customFormat="1" x14ac:dyDescent="0.25">
      <c r="A85" s="10" t="s">
        <v>181</v>
      </c>
      <c r="B85" s="180" t="s">
        <v>208</v>
      </c>
      <c r="C85" s="181"/>
      <c r="D85" s="182"/>
      <c r="E85" s="204">
        <v>1137.1258800000001</v>
      </c>
      <c r="F85" s="205"/>
      <c r="G85" s="36"/>
      <c r="H85" s="37"/>
    </row>
    <row r="86" spans="1:8" s="11" customFormat="1" ht="28.5" customHeight="1" x14ac:dyDescent="0.25">
      <c r="A86" s="10" t="s">
        <v>182</v>
      </c>
      <c r="B86" s="180" t="s">
        <v>209</v>
      </c>
      <c r="C86" s="181"/>
      <c r="D86" s="182"/>
      <c r="E86" s="183">
        <f>3428.7614+9698.7386</f>
        <v>13127.5</v>
      </c>
      <c r="F86" s="184"/>
      <c r="G86" s="38">
        <v>17778.384480000001</v>
      </c>
      <c r="H86" s="39"/>
    </row>
    <row r="87" spans="1:8" s="11" customFormat="1" ht="15" customHeight="1" x14ac:dyDescent="0.25">
      <c r="A87" s="15" t="s">
        <v>183</v>
      </c>
      <c r="B87" s="185" t="s">
        <v>151</v>
      </c>
      <c r="C87" s="185"/>
      <c r="D87" s="185"/>
      <c r="E87" s="183"/>
      <c r="F87" s="184"/>
      <c r="G87" s="38"/>
      <c r="H87" s="39"/>
    </row>
    <row r="88" spans="1:8" s="11" customFormat="1" x14ac:dyDescent="0.25">
      <c r="A88" s="10" t="s">
        <v>184</v>
      </c>
      <c r="B88" s="180" t="s">
        <v>56</v>
      </c>
      <c r="C88" s="181"/>
      <c r="D88" s="182"/>
      <c r="E88" s="183">
        <f>142.18292+595.68052</f>
        <v>737.86343999999997</v>
      </c>
      <c r="F88" s="184"/>
      <c r="G88" s="38">
        <v>14.98146</v>
      </c>
      <c r="H88" s="39"/>
    </row>
    <row r="89" spans="1:8" s="11" customFormat="1" ht="15" hidden="1" customHeight="1" x14ac:dyDescent="0.25">
      <c r="A89" s="42"/>
      <c r="B89" s="186" t="s">
        <v>152</v>
      </c>
      <c r="C89" s="187"/>
      <c r="D89" s="188"/>
      <c r="E89" s="189"/>
      <c r="F89" s="190"/>
      <c r="G89" s="36"/>
      <c r="H89" s="37"/>
    </row>
    <row r="90" spans="1:8" s="11" customFormat="1" ht="15" hidden="1" customHeight="1" x14ac:dyDescent="0.25">
      <c r="A90" s="42"/>
      <c r="B90" s="180" t="s">
        <v>140</v>
      </c>
      <c r="C90" s="181"/>
      <c r="D90" s="182"/>
      <c r="E90" s="183"/>
      <c r="F90" s="184"/>
      <c r="G90" s="38">
        <v>920</v>
      </c>
      <c r="H90" s="39"/>
    </row>
    <row r="91" spans="1:8" s="11" customFormat="1" x14ac:dyDescent="0.25">
      <c r="A91" s="15" t="s">
        <v>185</v>
      </c>
      <c r="B91" s="185" t="s">
        <v>153</v>
      </c>
      <c r="C91" s="185"/>
      <c r="D91" s="185"/>
      <c r="E91" s="183"/>
      <c r="F91" s="184"/>
      <c r="G91" s="38"/>
      <c r="H91" s="39"/>
    </row>
    <row r="92" spans="1:8" s="11" customFormat="1" x14ac:dyDescent="0.25">
      <c r="A92" s="10" t="s">
        <v>186</v>
      </c>
      <c r="B92" s="180" t="s">
        <v>141</v>
      </c>
      <c r="C92" s="181"/>
      <c r="D92" s="182"/>
      <c r="E92" s="183">
        <f>766.16456+2690.46844</f>
        <v>3456.6330000000003</v>
      </c>
      <c r="F92" s="184"/>
      <c r="G92" s="38">
        <v>289.90449999999998</v>
      </c>
      <c r="H92" s="39"/>
    </row>
    <row r="93" spans="1:8" ht="15" customHeight="1" x14ac:dyDescent="0.25">
      <c r="A93" s="142" t="s">
        <v>202</v>
      </c>
      <c r="B93" s="142"/>
      <c r="C93" s="142"/>
      <c r="D93" s="142"/>
      <c r="E93" s="176">
        <f>SUM(E62:F92)</f>
        <v>60642.006080000006</v>
      </c>
      <c r="F93" s="177"/>
      <c r="G93" s="40">
        <f>SUM(G62:H92)</f>
        <v>62246.300389999997</v>
      </c>
      <c r="H93" s="41"/>
    </row>
    <row r="94" spans="1:8" x14ac:dyDescent="0.25">
      <c r="A94" s="130"/>
      <c r="B94" s="131"/>
      <c r="C94" s="131"/>
      <c r="D94" s="132"/>
      <c r="E94" s="178"/>
      <c r="F94" s="179"/>
      <c r="H94" s="9"/>
    </row>
    <row r="95" spans="1:8" x14ac:dyDescent="0.25">
      <c r="A95" s="130" t="s">
        <v>197</v>
      </c>
      <c r="B95" s="131"/>
      <c r="C95" s="131"/>
      <c r="D95" s="132"/>
      <c r="E95" s="178">
        <f>E16+E19+E60+E93</f>
        <v>603314.48768999998</v>
      </c>
      <c r="F95" s="179"/>
      <c r="H95" s="9"/>
    </row>
    <row r="96" spans="1:8" ht="9" customHeight="1" x14ac:dyDescent="0.25">
      <c r="A96" s="19"/>
      <c r="B96" s="19"/>
      <c r="C96" s="19"/>
      <c r="D96" s="19"/>
      <c r="E96" s="20"/>
      <c r="F96" s="20"/>
      <c r="H96" s="9"/>
    </row>
    <row r="97" spans="1:7" x14ac:dyDescent="0.25">
      <c r="A97" s="156" t="s">
        <v>28</v>
      </c>
      <c r="B97" s="156"/>
      <c r="C97" s="156"/>
      <c r="D97" s="156"/>
      <c r="E97" s="174">
        <f>E95*1000</f>
        <v>603314487.68999994</v>
      </c>
      <c r="F97" s="174"/>
      <c r="G97" s="8"/>
    </row>
    <row r="98" spans="1:7" ht="15" customHeight="1" x14ac:dyDescent="0.25">
      <c r="A98" s="154" t="s">
        <v>29</v>
      </c>
      <c r="B98" s="154"/>
      <c r="C98" s="154"/>
      <c r="D98" s="154"/>
      <c r="E98" s="175">
        <f>E97-E97/1.18</f>
        <v>92031023.545932174</v>
      </c>
      <c r="F98" s="175"/>
    </row>
    <row r="99" spans="1:7" ht="8.25" customHeight="1" x14ac:dyDescent="0.25"/>
    <row r="100" spans="1:7" hidden="1" x14ac:dyDescent="0.25"/>
    <row r="101" spans="1:7" ht="30" customHeight="1" x14ac:dyDescent="0.25">
      <c r="A101" s="147" t="s">
        <v>31</v>
      </c>
      <c r="B101" s="147"/>
      <c r="C101" s="147"/>
      <c r="D101" s="147"/>
      <c r="E101" s="147"/>
      <c r="F101" s="147"/>
    </row>
    <row r="102" spans="1:7" ht="8.25" customHeight="1" x14ac:dyDescent="0.25"/>
    <row r="103" spans="1:7" x14ac:dyDescent="0.25">
      <c r="B103" s="44" t="s">
        <v>32</v>
      </c>
      <c r="C103" s="143" t="s">
        <v>33</v>
      </c>
      <c r="D103" s="143"/>
    </row>
    <row r="104" spans="1:7" ht="10.5" customHeight="1" x14ac:dyDescent="0.25">
      <c r="B104" s="171">
        <v>2013</v>
      </c>
      <c r="C104" s="172"/>
      <c r="D104" s="173"/>
    </row>
    <row r="105" spans="1:7" ht="11.25" customHeight="1" x14ac:dyDescent="0.25">
      <c r="B105" s="44" t="s">
        <v>34</v>
      </c>
      <c r="C105" s="167">
        <v>5.63</v>
      </c>
      <c r="D105" s="167"/>
    </row>
    <row r="106" spans="1:7" x14ac:dyDescent="0.25">
      <c r="B106" s="44" t="s">
        <v>35</v>
      </c>
      <c r="C106" s="167">
        <v>4.09</v>
      </c>
      <c r="D106" s="167"/>
    </row>
    <row r="107" spans="1:7" x14ac:dyDescent="0.25">
      <c r="B107" s="44" t="s">
        <v>36</v>
      </c>
      <c r="C107" s="167">
        <v>6.02</v>
      </c>
      <c r="D107" s="167"/>
    </row>
    <row r="108" spans="1:7" ht="12.75" customHeight="1" x14ac:dyDescent="0.25">
      <c r="B108" s="171">
        <v>2014</v>
      </c>
      <c r="C108" s="172"/>
      <c r="D108" s="173"/>
    </row>
    <row r="109" spans="1:7" x14ac:dyDescent="0.25">
      <c r="B109" s="44" t="s">
        <v>34</v>
      </c>
      <c r="C109" s="167">
        <v>6.03</v>
      </c>
      <c r="D109" s="167"/>
    </row>
    <row r="110" spans="1:7" x14ac:dyDescent="0.25">
      <c r="B110" s="44" t="s">
        <v>35</v>
      </c>
      <c r="C110" s="167">
        <v>4.38</v>
      </c>
      <c r="D110" s="167"/>
    </row>
    <row r="111" spans="1:7" x14ac:dyDescent="0.25">
      <c r="B111" s="44" t="s">
        <v>36</v>
      </c>
      <c r="C111" s="167">
        <v>6.45</v>
      </c>
      <c r="D111" s="167"/>
    </row>
    <row r="112" spans="1:7" ht="11.25" customHeight="1" x14ac:dyDescent="0.25"/>
    <row r="113" spans="1:6" ht="11.25" customHeight="1" x14ac:dyDescent="0.25"/>
    <row r="114" spans="1:6" ht="18" customHeight="1" x14ac:dyDescent="0.25">
      <c r="A114" s="168" t="s">
        <v>37</v>
      </c>
      <c r="B114" s="168"/>
      <c r="C114" s="168"/>
      <c r="D114" s="168"/>
      <c r="E114" s="168"/>
      <c r="F114" s="168"/>
    </row>
    <row r="115" spans="1:6" x14ac:dyDescent="0.25">
      <c r="A115" s="16"/>
      <c r="B115" s="16" t="s">
        <v>38</v>
      </c>
      <c r="C115" s="16"/>
      <c r="D115" s="169" t="s">
        <v>188</v>
      </c>
      <c r="E115" s="169"/>
      <c r="F115" s="16"/>
    </row>
    <row r="116" spans="1:6" x14ac:dyDescent="0.25">
      <c r="B116" s="21" t="s">
        <v>190</v>
      </c>
      <c r="D116" s="45" t="s">
        <v>194</v>
      </c>
    </row>
    <row r="117" spans="1:6" x14ac:dyDescent="0.25">
      <c r="B117" s="21" t="s">
        <v>40</v>
      </c>
      <c r="D117" s="170" t="s">
        <v>189</v>
      </c>
      <c r="E117" s="170"/>
      <c r="F117" s="170"/>
    </row>
    <row r="118" spans="1:6" x14ac:dyDescent="0.25">
      <c r="B118" s="21" t="s">
        <v>191</v>
      </c>
    </row>
    <row r="119" spans="1:6" x14ac:dyDescent="0.25">
      <c r="B119" s="21" t="s">
        <v>211</v>
      </c>
    </row>
    <row r="120" spans="1:6" ht="15" customHeight="1" x14ac:dyDescent="0.25">
      <c r="B120" s="21" t="s">
        <v>192</v>
      </c>
      <c r="D120" s="47"/>
      <c r="E120" s="145"/>
      <c r="F120" s="145"/>
    </row>
    <row r="121" spans="1:6" ht="24.75" customHeight="1" x14ac:dyDescent="0.25">
      <c r="A121" s="16"/>
      <c r="B121" s="29"/>
      <c r="C121" s="22" t="s">
        <v>207</v>
      </c>
      <c r="D121" s="18"/>
      <c r="E121" s="145" t="s">
        <v>195</v>
      </c>
      <c r="F121" s="145"/>
    </row>
    <row r="124" spans="1:6" x14ac:dyDescent="0.25">
      <c r="D124" s="47"/>
      <c r="E124" s="147"/>
      <c r="F124" s="147"/>
    </row>
  </sheetData>
  <mergeCells count="191">
    <mergeCell ref="A9:F9"/>
    <mergeCell ref="A10:F10"/>
    <mergeCell ref="B12:D12"/>
    <mergeCell ref="E12:F12"/>
    <mergeCell ref="B13:D13"/>
    <mergeCell ref="E13:F13"/>
    <mergeCell ref="D1:F1"/>
    <mergeCell ref="D2:F2"/>
    <mergeCell ref="D3:F3"/>
    <mergeCell ref="C4:F4"/>
    <mergeCell ref="A7:F7"/>
    <mergeCell ref="A8:F8"/>
    <mergeCell ref="B18:D18"/>
    <mergeCell ref="E18:F18"/>
    <mergeCell ref="A19:D19"/>
    <mergeCell ref="E19:F19"/>
    <mergeCell ref="A20:F20"/>
    <mergeCell ref="A21:F21"/>
    <mergeCell ref="A14:F14"/>
    <mergeCell ref="B15:D15"/>
    <mergeCell ref="E15:F15"/>
    <mergeCell ref="A16:D16"/>
    <mergeCell ref="E16:F16"/>
    <mergeCell ref="A17:F17"/>
    <mergeCell ref="B25:D25"/>
    <mergeCell ref="E25:F25"/>
    <mergeCell ref="B26:D26"/>
    <mergeCell ref="E26:F26"/>
    <mergeCell ref="B27:D27"/>
    <mergeCell ref="E27:F27"/>
    <mergeCell ref="B22:D22"/>
    <mergeCell ref="E22:F22"/>
    <mergeCell ref="B23:D23"/>
    <mergeCell ref="E23:F23"/>
    <mergeCell ref="B24:D24"/>
    <mergeCell ref="E24:F24"/>
    <mergeCell ref="B31:D31"/>
    <mergeCell ref="E31:F31"/>
    <mergeCell ref="B32:D32"/>
    <mergeCell ref="E32:F32"/>
    <mergeCell ref="B33:D33"/>
    <mergeCell ref="E33:F33"/>
    <mergeCell ref="B28:D28"/>
    <mergeCell ref="E28:F28"/>
    <mergeCell ref="B29:D29"/>
    <mergeCell ref="E29:F29"/>
    <mergeCell ref="B30:D30"/>
    <mergeCell ref="E30:F30"/>
    <mergeCell ref="B37:D37"/>
    <mergeCell ref="E37:F37"/>
    <mergeCell ref="B38:D38"/>
    <mergeCell ref="E38:F38"/>
    <mergeCell ref="B39:D39"/>
    <mergeCell ref="E39:F39"/>
    <mergeCell ref="B34:D34"/>
    <mergeCell ref="E34:F34"/>
    <mergeCell ref="B35:D35"/>
    <mergeCell ref="E35:F35"/>
    <mergeCell ref="B36:D36"/>
    <mergeCell ref="E36:F36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  <mergeCell ref="E42:F42"/>
    <mergeCell ref="B49:D49"/>
    <mergeCell ref="E49:F49"/>
    <mergeCell ref="A50:D50"/>
    <mergeCell ref="E50:F50"/>
    <mergeCell ref="B51:D51"/>
    <mergeCell ref="E51:F51"/>
    <mergeCell ref="B46:D46"/>
    <mergeCell ref="E46:F46"/>
    <mergeCell ref="B47:D47"/>
    <mergeCell ref="E47:F47"/>
    <mergeCell ref="A48:D48"/>
    <mergeCell ref="E48:F48"/>
    <mergeCell ref="B55:D55"/>
    <mergeCell ref="E55:F55"/>
    <mergeCell ref="B56:D56"/>
    <mergeCell ref="E56:F56"/>
    <mergeCell ref="A57:D57"/>
    <mergeCell ref="E57:F57"/>
    <mergeCell ref="A52:D52"/>
    <mergeCell ref="E52:F52"/>
    <mergeCell ref="B53:D53"/>
    <mergeCell ref="E53:F53"/>
    <mergeCell ref="A54:D54"/>
    <mergeCell ref="E54:F54"/>
    <mergeCell ref="A61:F61"/>
    <mergeCell ref="B62:D62"/>
    <mergeCell ref="E62:F62"/>
    <mergeCell ref="B63:D63"/>
    <mergeCell ref="E63:F63"/>
    <mergeCell ref="B64:D64"/>
    <mergeCell ref="E64:F64"/>
    <mergeCell ref="B58:D58"/>
    <mergeCell ref="E58:F58"/>
    <mergeCell ref="B59:D59"/>
    <mergeCell ref="E59:F59"/>
    <mergeCell ref="A60:D60"/>
    <mergeCell ref="E60:F60"/>
    <mergeCell ref="B68:D68"/>
    <mergeCell ref="E68:F68"/>
    <mergeCell ref="B69:D69"/>
    <mergeCell ref="E69:F69"/>
    <mergeCell ref="B70:D70"/>
    <mergeCell ref="E70:F70"/>
    <mergeCell ref="B65:D65"/>
    <mergeCell ref="E65:F65"/>
    <mergeCell ref="B66:D66"/>
    <mergeCell ref="E66:F66"/>
    <mergeCell ref="B67:D67"/>
    <mergeCell ref="E67:F67"/>
    <mergeCell ref="B74:D74"/>
    <mergeCell ref="E74:F74"/>
    <mergeCell ref="B75:D75"/>
    <mergeCell ref="E75:F75"/>
    <mergeCell ref="B76:D76"/>
    <mergeCell ref="E76:F76"/>
    <mergeCell ref="B71:D71"/>
    <mergeCell ref="E71:F71"/>
    <mergeCell ref="B72:D72"/>
    <mergeCell ref="E72:F72"/>
    <mergeCell ref="B73:D73"/>
    <mergeCell ref="E73:F73"/>
    <mergeCell ref="B80:D80"/>
    <mergeCell ref="E80:F80"/>
    <mergeCell ref="B81:D81"/>
    <mergeCell ref="E81:F81"/>
    <mergeCell ref="B82:D82"/>
    <mergeCell ref="E82:F82"/>
    <mergeCell ref="B77:D77"/>
    <mergeCell ref="E77:F77"/>
    <mergeCell ref="B78:D78"/>
    <mergeCell ref="E78:F78"/>
    <mergeCell ref="B79:D79"/>
    <mergeCell ref="E79:F79"/>
    <mergeCell ref="B86:D86"/>
    <mergeCell ref="E86:F86"/>
    <mergeCell ref="B87:D87"/>
    <mergeCell ref="E87:F87"/>
    <mergeCell ref="B88:D88"/>
    <mergeCell ref="E88:F88"/>
    <mergeCell ref="B83:D83"/>
    <mergeCell ref="E83:F83"/>
    <mergeCell ref="B84:D84"/>
    <mergeCell ref="E84:F84"/>
    <mergeCell ref="B85:D85"/>
    <mergeCell ref="E85:F85"/>
    <mergeCell ref="B92:D92"/>
    <mergeCell ref="E92:F92"/>
    <mergeCell ref="A93:D93"/>
    <mergeCell ref="E93:F93"/>
    <mergeCell ref="A94:D94"/>
    <mergeCell ref="E94:F94"/>
    <mergeCell ref="B89:D89"/>
    <mergeCell ref="E89:F89"/>
    <mergeCell ref="B90:D90"/>
    <mergeCell ref="E90:F90"/>
    <mergeCell ref="B91:D91"/>
    <mergeCell ref="E91:F91"/>
    <mergeCell ref="A101:F101"/>
    <mergeCell ref="C103:D103"/>
    <mergeCell ref="B104:D104"/>
    <mergeCell ref="C105:D105"/>
    <mergeCell ref="C106:D106"/>
    <mergeCell ref="C107:D107"/>
    <mergeCell ref="A95:D95"/>
    <mergeCell ref="E95:F95"/>
    <mergeCell ref="A97:D97"/>
    <mergeCell ref="E97:F97"/>
    <mergeCell ref="A98:D98"/>
    <mergeCell ref="E98:F98"/>
    <mergeCell ref="D117:F117"/>
    <mergeCell ref="E120:F120"/>
    <mergeCell ref="E121:F121"/>
    <mergeCell ref="E124:F124"/>
    <mergeCell ref="B108:D108"/>
    <mergeCell ref="C109:D109"/>
    <mergeCell ref="C110:D110"/>
    <mergeCell ref="C111:D111"/>
    <mergeCell ref="A114:F114"/>
    <mergeCell ref="D115:E115"/>
  </mergeCells>
  <pageMargins left="0.9055118110236221" right="0.51181102362204722" top="0.55118110236220474" bottom="0.35433070866141736" header="0" footer="0"/>
  <pageSetup paperSize="9" scale="93" fitToHeight="10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view="pageBreakPreview" topLeftCell="A68" zoomScale="130" zoomScaleNormal="100" zoomScaleSheetLayoutView="130" workbookViewId="0">
      <selection activeCell="B88" sqref="B88:D88"/>
    </sheetView>
  </sheetViews>
  <sheetFormatPr defaultColWidth="9.140625" defaultRowHeight="15" x14ac:dyDescent="0.25"/>
  <cols>
    <col min="1" max="1" width="5.5703125" style="45" customWidth="1"/>
    <col min="2" max="2" width="22" style="45" customWidth="1"/>
    <col min="3" max="3" width="27.7109375" style="45" customWidth="1"/>
    <col min="4" max="4" width="20.42578125" style="45" customWidth="1"/>
    <col min="5" max="5" width="10.42578125" style="45" customWidth="1"/>
    <col min="6" max="6" width="9.28515625" style="45" customWidth="1"/>
    <col min="7" max="7" width="12.85546875" style="45" customWidth="1"/>
    <col min="8" max="8" width="21.28515625" style="45" customWidth="1"/>
    <col min="9" max="9" width="9.140625" style="45"/>
    <col min="10" max="10" width="13.7109375" style="45" customWidth="1"/>
    <col min="11" max="16384" width="9.140625" style="45"/>
  </cols>
  <sheetData>
    <row r="1" spans="1:7" x14ac:dyDescent="0.25">
      <c r="C1" s="17"/>
      <c r="D1" s="235" t="s">
        <v>0</v>
      </c>
      <c r="E1" s="235"/>
      <c r="F1" s="235"/>
      <c r="G1" s="46"/>
    </row>
    <row r="2" spans="1:7" x14ac:dyDescent="0.25">
      <c r="C2" s="17"/>
      <c r="D2" s="235" t="s">
        <v>157</v>
      </c>
      <c r="E2" s="235"/>
      <c r="F2" s="235"/>
    </row>
    <row r="3" spans="1:7" x14ac:dyDescent="0.25">
      <c r="C3" s="17"/>
      <c r="D3" s="235" t="s">
        <v>154</v>
      </c>
      <c r="E3" s="235"/>
      <c r="F3" s="235"/>
      <c r="G3" s="46"/>
    </row>
    <row r="4" spans="1:7" x14ac:dyDescent="0.25">
      <c r="C4" s="235" t="s">
        <v>187</v>
      </c>
      <c r="D4" s="235"/>
      <c r="E4" s="235"/>
      <c r="F4" s="235"/>
    </row>
    <row r="6" spans="1:7" hidden="1" x14ac:dyDescent="0.25"/>
    <row r="7" spans="1:7" x14ac:dyDescent="0.25">
      <c r="A7" s="147" t="s">
        <v>2</v>
      </c>
      <c r="B7" s="147"/>
      <c r="C7" s="147"/>
      <c r="D7" s="147"/>
      <c r="E7" s="147"/>
      <c r="F7" s="147"/>
    </row>
    <row r="8" spans="1:7" x14ac:dyDescent="0.25">
      <c r="A8" s="147" t="s">
        <v>3</v>
      </c>
      <c r="B8" s="147"/>
      <c r="C8" s="147"/>
      <c r="D8" s="147"/>
      <c r="E8" s="147"/>
      <c r="F8" s="147"/>
    </row>
    <row r="9" spans="1:7" x14ac:dyDescent="0.25">
      <c r="A9" s="147" t="s">
        <v>156</v>
      </c>
      <c r="B9" s="147"/>
      <c r="C9" s="147"/>
      <c r="D9" s="147"/>
      <c r="E9" s="147"/>
      <c r="F9" s="147"/>
    </row>
    <row r="10" spans="1:7" ht="16.5" customHeight="1" x14ac:dyDescent="0.25">
      <c r="A10" s="146" t="s">
        <v>155</v>
      </c>
      <c r="B10" s="146"/>
      <c r="C10" s="146"/>
      <c r="D10" s="146"/>
      <c r="E10" s="146"/>
      <c r="F10" s="146"/>
    </row>
    <row r="11" spans="1:7" ht="9" customHeight="1" x14ac:dyDescent="0.25"/>
    <row r="12" spans="1:7" ht="43.5" customHeight="1" x14ac:dyDescent="0.25">
      <c r="A12" s="44" t="s">
        <v>5</v>
      </c>
      <c r="B12" s="231" t="s">
        <v>7</v>
      </c>
      <c r="C12" s="232"/>
      <c r="D12" s="233"/>
      <c r="E12" s="143" t="s">
        <v>8</v>
      </c>
      <c r="F12" s="143"/>
    </row>
    <row r="13" spans="1:7" ht="13.5" customHeight="1" x14ac:dyDescent="0.25">
      <c r="A13" s="48">
        <v>1</v>
      </c>
      <c r="B13" s="234">
        <v>2</v>
      </c>
      <c r="C13" s="137"/>
      <c r="D13" s="138"/>
      <c r="E13" s="234">
        <v>3</v>
      </c>
      <c r="F13" s="138"/>
    </row>
    <row r="14" spans="1:7" ht="13.5" customHeight="1" x14ac:dyDescent="0.25">
      <c r="A14" s="142" t="s">
        <v>16</v>
      </c>
      <c r="B14" s="142"/>
      <c r="C14" s="142"/>
      <c r="D14" s="142"/>
      <c r="E14" s="142"/>
      <c r="F14" s="142"/>
    </row>
    <row r="15" spans="1:7" x14ac:dyDescent="0.25">
      <c r="A15" s="48">
        <v>1</v>
      </c>
      <c r="B15" s="88" t="s">
        <v>12</v>
      </c>
      <c r="C15" s="89"/>
      <c r="D15" s="90"/>
      <c r="E15" s="139">
        <v>131675.818</v>
      </c>
      <c r="F15" s="140"/>
    </row>
    <row r="16" spans="1:7" x14ac:dyDescent="0.25">
      <c r="A16" s="130" t="s">
        <v>18</v>
      </c>
      <c r="B16" s="131"/>
      <c r="C16" s="131"/>
      <c r="D16" s="131"/>
      <c r="E16" s="150">
        <f>SUM(E15:F15)</f>
        <v>131675.818</v>
      </c>
      <c r="F16" s="151"/>
    </row>
    <row r="17" spans="1:8" x14ac:dyDescent="0.25">
      <c r="A17" s="142" t="s">
        <v>19</v>
      </c>
      <c r="B17" s="142"/>
      <c r="C17" s="142"/>
      <c r="D17" s="142"/>
      <c r="E17" s="142"/>
      <c r="F17" s="142"/>
    </row>
    <row r="18" spans="1:8" ht="15" customHeight="1" x14ac:dyDescent="0.25">
      <c r="A18" s="6">
        <v>2</v>
      </c>
      <c r="B18" s="152" t="s">
        <v>12</v>
      </c>
      <c r="C18" s="152"/>
      <c r="D18" s="152"/>
      <c r="E18" s="148">
        <v>94324.182000000001</v>
      </c>
      <c r="F18" s="148"/>
    </row>
    <row r="19" spans="1:8" x14ac:dyDescent="0.25">
      <c r="A19" s="142" t="s">
        <v>13</v>
      </c>
      <c r="B19" s="142"/>
      <c r="C19" s="142"/>
      <c r="D19" s="142"/>
      <c r="E19" s="153">
        <f>SUM(E18:F18)</f>
        <v>94324.182000000001</v>
      </c>
      <c r="F19" s="153"/>
    </row>
    <row r="20" spans="1:8" x14ac:dyDescent="0.25">
      <c r="A20" s="142" t="s">
        <v>193</v>
      </c>
      <c r="B20" s="142"/>
      <c r="C20" s="142"/>
      <c r="D20" s="142"/>
      <c r="E20" s="142"/>
      <c r="F20" s="142"/>
    </row>
    <row r="21" spans="1:8" s="11" customFormat="1" x14ac:dyDescent="0.25">
      <c r="A21" s="230" t="s">
        <v>9</v>
      </c>
      <c r="B21" s="230"/>
      <c r="C21" s="230"/>
      <c r="D21" s="230"/>
      <c r="E21" s="230"/>
      <c r="F21" s="230"/>
      <c r="H21" s="13"/>
    </row>
    <row r="22" spans="1:8" s="11" customFormat="1" hidden="1" x14ac:dyDescent="0.25">
      <c r="A22" s="10">
        <v>5</v>
      </c>
      <c r="B22" s="227" t="s">
        <v>114</v>
      </c>
      <c r="C22" s="228"/>
      <c r="D22" s="229"/>
      <c r="E22" s="189"/>
      <c r="F22" s="190"/>
      <c r="H22" s="13"/>
    </row>
    <row r="23" spans="1:8" s="11" customFormat="1" hidden="1" x14ac:dyDescent="0.25">
      <c r="A23" s="10"/>
      <c r="B23" s="206"/>
      <c r="C23" s="207"/>
      <c r="D23" s="208"/>
      <c r="E23" s="225">
        <v>0</v>
      </c>
      <c r="F23" s="226"/>
      <c r="H23" s="13"/>
    </row>
    <row r="24" spans="1:8" s="11" customFormat="1" hidden="1" x14ac:dyDescent="0.25">
      <c r="A24" s="10"/>
      <c r="B24" s="206"/>
      <c r="C24" s="207"/>
      <c r="D24" s="208"/>
      <c r="E24" s="225">
        <v>0</v>
      </c>
      <c r="F24" s="226"/>
      <c r="H24" s="13"/>
    </row>
    <row r="25" spans="1:8" s="11" customFormat="1" ht="15.75" x14ac:dyDescent="0.25">
      <c r="A25" s="10" t="s">
        <v>158</v>
      </c>
      <c r="B25" s="196" t="s">
        <v>115</v>
      </c>
      <c r="C25" s="197"/>
      <c r="D25" s="198"/>
      <c r="E25" s="225"/>
      <c r="F25" s="226"/>
      <c r="H25" s="13"/>
    </row>
    <row r="26" spans="1:8" s="11" customFormat="1" x14ac:dyDescent="0.25">
      <c r="A26" s="10" t="s">
        <v>159</v>
      </c>
      <c r="B26" s="206" t="s">
        <v>99</v>
      </c>
      <c r="C26" s="207"/>
      <c r="D26" s="208"/>
      <c r="E26" s="218">
        <f>9370-221.78203</f>
        <v>9148.2179699999997</v>
      </c>
      <c r="F26" s="219"/>
      <c r="H26" s="13"/>
    </row>
    <row r="27" spans="1:8" s="11" customFormat="1" x14ac:dyDescent="0.25">
      <c r="A27" s="10" t="s">
        <v>160</v>
      </c>
      <c r="B27" s="206" t="s">
        <v>100</v>
      </c>
      <c r="C27" s="207"/>
      <c r="D27" s="208"/>
      <c r="E27" s="218">
        <f>54420-15866.31308</f>
        <v>38553.68692</v>
      </c>
      <c r="F27" s="219"/>
      <c r="H27" s="13"/>
    </row>
    <row r="28" spans="1:8" s="11" customFormat="1" ht="30" customHeight="1" x14ac:dyDescent="0.25">
      <c r="A28" s="10" t="s">
        <v>161</v>
      </c>
      <c r="B28" s="206" t="s">
        <v>101</v>
      </c>
      <c r="C28" s="207"/>
      <c r="D28" s="208"/>
      <c r="E28" s="218">
        <f>19680-1770.4549</f>
        <v>17909.545099999999</v>
      </c>
      <c r="F28" s="219"/>
      <c r="H28" s="13"/>
    </row>
    <row r="29" spans="1:8" s="11" customFormat="1" x14ac:dyDescent="0.25">
      <c r="A29" s="10" t="s">
        <v>162</v>
      </c>
      <c r="B29" s="206" t="s">
        <v>102</v>
      </c>
      <c r="C29" s="207"/>
      <c r="D29" s="208"/>
      <c r="E29" s="218">
        <f>4848-728.1876</f>
        <v>4119.8123999999998</v>
      </c>
      <c r="F29" s="219"/>
      <c r="H29" s="13"/>
    </row>
    <row r="30" spans="1:8" s="11" customFormat="1" x14ac:dyDescent="0.25">
      <c r="A30" s="10" t="s">
        <v>163</v>
      </c>
      <c r="B30" s="206" t="s">
        <v>103</v>
      </c>
      <c r="C30" s="207"/>
      <c r="D30" s="208"/>
      <c r="E30" s="218">
        <f>32301-1251.79014</f>
        <v>31049.209859999999</v>
      </c>
      <c r="F30" s="219"/>
      <c r="H30" s="13"/>
    </row>
    <row r="31" spans="1:8" s="11" customFormat="1" ht="30" customHeight="1" x14ac:dyDescent="0.25">
      <c r="A31" s="10" t="s">
        <v>164</v>
      </c>
      <c r="B31" s="206" t="s">
        <v>104</v>
      </c>
      <c r="C31" s="207"/>
      <c r="D31" s="208"/>
      <c r="E31" s="218">
        <f>12052-1538.93782</f>
        <v>10513.062180000001</v>
      </c>
      <c r="F31" s="219"/>
      <c r="H31" s="13"/>
    </row>
    <row r="32" spans="1:8" s="11" customFormat="1" ht="30" hidden="1" customHeight="1" x14ac:dyDescent="0.25">
      <c r="A32" s="10" t="s">
        <v>64</v>
      </c>
      <c r="B32" s="206" t="s">
        <v>105</v>
      </c>
      <c r="C32" s="207"/>
      <c r="D32" s="208"/>
      <c r="E32" s="218">
        <v>0</v>
      </c>
      <c r="F32" s="219"/>
      <c r="H32" s="13"/>
    </row>
    <row r="33" spans="1:8" s="11" customFormat="1" x14ac:dyDescent="0.25">
      <c r="A33" s="10" t="s">
        <v>165</v>
      </c>
      <c r="B33" s="206" t="s">
        <v>106</v>
      </c>
      <c r="C33" s="207"/>
      <c r="D33" s="208"/>
      <c r="E33" s="218">
        <f>20000-12449.26592</f>
        <v>7550.7340800000002</v>
      </c>
      <c r="F33" s="219"/>
      <c r="H33" s="13"/>
    </row>
    <row r="34" spans="1:8" s="11" customFormat="1" x14ac:dyDescent="0.25">
      <c r="A34" s="10" t="s">
        <v>166</v>
      </c>
      <c r="B34" s="206" t="s">
        <v>107</v>
      </c>
      <c r="C34" s="207"/>
      <c r="D34" s="208"/>
      <c r="E34" s="218">
        <f>5700-502.73544</f>
        <v>5197.2645599999996</v>
      </c>
      <c r="F34" s="219"/>
      <c r="H34" s="13"/>
    </row>
    <row r="35" spans="1:8" s="11" customFormat="1" x14ac:dyDescent="0.25">
      <c r="A35" s="10" t="s">
        <v>167</v>
      </c>
      <c r="B35" s="206" t="s">
        <v>108</v>
      </c>
      <c r="C35" s="207"/>
      <c r="D35" s="208"/>
      <c r="E35" s="218">
        <f>24130-12961.66188</f>
        <v>11168.33812</v>
      </c>
      <c r="F35" s="219"/>
      <c r="H35" s="13"/>
    </row>
    <row r="36" spans="1:8" s="11" customFormat="1" x14ac:dyDescent="0.25">
      <c r="A36" s="10" t="s">
        <v>168</v>
      </c>
      <c r="B36" s="206" t="s">
        <v>109</v>
      </c>
      <c r="C36" s="207"/>
      <c r="D36" s="208"/>
      <c r="E36" s="218">
        <f>30000-13598.73435</f>
        <v>16401.265650000001</v>
      </c>
      <c r="F36" s="219"/>
      <c r="H36" s="13"/>
    </row>
    <row r="37" spans="1:8" s="11" customFormat="1" ht="45" customHeight="1" x14ac:dyDescent="0.25">
      <c r="A37" s="10" t="s">
        <v>169</v>
      </c>
      <c r="B37" s="206" t="s">
        <v>110</v>
      </c>
      <c r="C37" s="207"/>
      <c r="D37" s="208"/>
      <c r="E37" s="204">
        <f>19980.633-1685.07659</f>
        <v>18295.556410000001</v>
      </c>
      <c r="F37" s="205"/>
      <c r="H37" s="13"/>
    </row>
    <row r="38" spans="1:8" s="11" customFormat="1" ht="30" customHeight="1" x14ac:dyDescent="0.25">
      <c r="A38" s="10" t="s">
        <v>170</v>
      </c>
      <c r="B38" s="206" t="s">
        <v>111</v>
      </c>
      <c r="C38" s="207"/>
      <c r="D38" s="208"/>
      <c r="E38" s="218">
        <f>2700-761.50048</f>
        <v>1938.4995199999998</v>
      </c>
      <c r="F38" s="219"/>
      <c r="H38" s="13"/>
    </row>
    <row r="39" spans="1:8" s="11" customFormat="1" ht="30" customHeight="1" x14ac:dyDescent="0.25">
      <c r="A39" s="10" t="s">
        <v>171</v>
      </c>
      <c r="B39" s="206" t="s">
        <v>112</v>
      </c>
      <c r="C39" s="207"/>
      <c r="D39" s="208"/>
      <c r="E39" s="218">
        <f>4945-276.89784</f>
        <v>4668.1021600000004</v>
      </c>
      <c r="F39" s="219"/>
      <c r="H39" s="13"/>
    </row>
    <row r="40" spans="1:8" s="11" customFormat="1" x14ac:dyDescent="0.25">
      <c r="A40" s="10" t="s">
        <v>172</v>
      </c>
      <c r="B40" s="206" t="s">
        <v>113</v>
      </c>
      <c r="C40" s="207"/>
      <c r="D40" s="208"/>
      <c r="E40" s="218">
        <f>860-30.77978</f>
        <v>829.22022000000004</v>
      </c>
      <c r="F40" s="219"/>
      <c r="H40" s="13"/>
    </row>
    <row r="41" spans="1:8" s="11" customFormat="1" x14ac:dyDescent="0.25">
      <c r="A41" s="10" t="s">
        <v>173</v>
      </c>
      <c r="B41" s="206" t="s">
        <v>50</v>
      </c>
      <c r="C41" s="207"/>
      <c r="D41" s="208"/>
      <c r="E41" s="218">
        <f>13846-92.23624</f>
        <v>13753.76376</v>
      </c>
      <c r="F41" s="219"/>
      <c r="H41" s="13"/>
    </row>
    <row r="42" spans="1:8" s="11" customFormat="1" x14ac:dyDescent="0.25">
      <c r="A42" s="10" t="s">
        <v>174</v>
      </c>
      <c r="B42" s="206" t="s">
        <v>51</v>
      </c>
      <c r="C42" s="207"/>
      <c r="D42" s="208"/>
      <c r="E42" s="218">
        <f>4930-3.07402</f>
        <v>4926.92598</v>
      </c>
      <c r="F42" s="219"/>
      <c r="H42" s="13"/>
    </row>
    <row r="43" spans="1:8" s="11" customFormat="1" x14ac:dyDescent="0.25">
      <c r="A43" s="12">
        <v>4</v>
      </c>
      <c r="B43" s="199" t="s">
        <v>53</v>
      </c>
      <c r="C43" s="200"/>
      <c r="D43" s="201"/>
      <c r="E43" s="218"/>
      <c r="F43" s="219"/>
      <c r="H43" s="13"/>
    </row>
    <row r="44" spans="1:8" s="11" customFormat="1" x14ac:dyDescent="0.25">
      <c r="A44" s="10" t="s">
        <v>175</v>
      </c>
      <c r="B44" s="191" t="s">
        <v>116</v>
      </c>
      <c r="C44" s="192"/>
      <c r="D44" s="193"/>
      <c r="E44" s="218">
        <f>46080-5199.18084</f>
        <v>40880.819159999999</v>
      </c>
      <c r="F44" s="219"/>
      <c r="H44" s="13"/>
    </row>
    <row r="45" spans="1:8" s="11" customFormat="1" hidden="1" x14ac:dyDescent="0.25">
      <c r="A45" s="10" t="s">
        <v>76</v>
      </c>
      <c r="B45" s="191" t="s">
        <v>117</v>
      </c>
      <c r="C45" s="192"/>
      <c r="D45" s="193"/>
      <c r="E45" s="218">
        <v>0</v>
      </c>
      <c r="F45" s="219"/>
      <c r="H45" s="13"/>
    </row>
    <row r="46" spans="1:8" s="11" customFormat="1" hidden="1" x14ac:dyDescent="0.25">
      <c r="A46" s="10" t="s">
        <v>77</v>
      </c>
      <c r="B46" s="191" t="s">
        <v>118</v>
      </c>
      <c r="C46" s="192"/>
      <c r="D46" s="193"/>
      <c r="E46" s="218">
        <v>0</v>
      </c>
      <c r="F46" s="219"/>
      <c r="H46" s="13"/>
    </row>
    <row r="47" spans="1:8" s="11" customFormat="1" x14ac:dyDescent="0.25">
      <c r="A47" s="10"/>
      <c r="B47" s="220" t="s">
        <v>20</v>
      </c>
      <c r="C47" s="221"/>
      <c r="D47" s="222"/>
      <c r="E47" s="223">
        <f>SUM(E22:F46)</f>
        <v>236904.02405000001</v>
      </c>
      <c r="F47" s="224"/>
      <c r="H47" s="13"/>
    </row>
    <row r="48" spans="1:8" s="11" customFormat="1" x14ac:dyDescent="0.25">
      <c r="A48" s="196" t="s">
        <v>54</v>
      </c>
      <c r="B48" s="197"/>
      <c r="C48" s="197"/>
      <c r="D48" s="198"/>
      <c r="E48" s="189"/>
      <c r="F48" s="190"/>
      <c r="H48" s="13"/>
    </row>
    <row r="49" spans="1:8" s="11" customFormat="1" ht="27" customHeight="1" x14ac:dyDescent="0.25">
      <c r="A49" s="12">
        <v>5</v>
      </c>
      <c r="B49" s="180" t="s">
        <v>134</v>
      </c>
      <c r="C49" s="181"/>
      <c r="D49" s="182"/>
      <c r="E49" s="218">
        <f>58020-17778.38448</f>
        <v>40241.615519999999</v>
      </c>
      <c r="F49" s="219"/>
      <c r="H49" s="13">
        <f>E47+E49+E51+E53+E55+E58</f>
        <v>316672.48161000002</v>
      </c>
    </row>
    <row r="50" spans="1:8" s="11" customFormat="1" x14ac:dyDescent="0.25">
      <c r="A50" s="186" t="s">
        <v>55</v>
      </c>
      <c r="B50" s="187"/>
      <c r="C50" s="187"/>
      <c r="D50" s="188"/>
      <c r="E50" s="189"/>
      <c r="F50" s="190"/>
      <c r="H50" s="13"/>
    </row>
    <row r="51" spans="1:8" s="11" customFormat="1" x14ac:dyDescent="0.25">
      <c r="A51" s="12">
        <v>6</v>
      </c>
      <c r="B51" s="191" t="s">
        <v>135</v>
      </c>
      <c r="C51" s="192"/>
      <c r="D51" s="193"/>
      <c r="E51" s="218">
        <v>3016.489</v>
      </c>
      <c r="F51" s="219"/>
      <c r="H51" s="13" t="e">
        <f>#REF!+#REF!</f>
        <v>#REF!</v>
      </c>
    </row>
    <row r="52" spans="1:8" s="11" customFormat="1" ht="15" customHeight="1" x14ac:dyDescent="0.25">
      <c r="A52" s="186" t="s">
        <v>137</v>
      </c>
      <c r="B52" s="187"/>
      <c r="C52" s="187"/>
      <c r="D52" s="188"/>
      <c r="E52" s="218"/>
      <c r="F52" s="219"/>
      <c r="H52" s="13"/>
    </row>
    <row r="53" spans="1:8" s="11" customFormat="1" x14ac:dyDescent="0.25">
      <c r="A53" s="12">
        <v>7</v>
      </c>
      <c r="B53" s="180" t="s">
        <v>56</v>
      </c>
      <c r="C53" s="181"/>
      <c r="D53" s="182"/>
      <c r="E53" s="218">
        <f>22553.339-14.98146</f>
        <v>22538.357540000001</v>
      </c>
      <c r="F53" s="219"/>
      <c r="H53" s="13"/>
    </row>
    <row r="54" spans="1:8" s="11" customFormat="1" x14ac:dyDescent="0.25">
      <c r="A54" s="186" t="s">
        <v>138</v>
      </c>
      <c r="B54" s="187"/>
      <c r="C54" s="187"/>
      <c r="D54" s="188"/>
      <c r="E54" s="189"/>
      <c r="F54" s="190"/>
      <c r="H54" s="13"/>
    </row>
    <row r="55" spans="1:8" s="11" customFormat="1" x14ac:dyDescent="0.25">
      <c r="A55" s="12">
        <v>8</v>
      </c>
      <c r="B55" s="191" t="s">
        <v>139</v>
      </c>
      <c r="C55" s="192"/>
      <c r="D55" s="193"/>
      <c r="E55" s="218">
        <v>6751.9</v>
      </c>
      <c r="F55" s="219"/>
      <c r="H55" s="13"/>
    </row>
    <row r="56" spans="1:8" s="11" customFormat="1" ht="15" hidden="1" customHeight="1" x14ac:dyDescent="0.25">
      <c r="A56" s="12">
        <v>13</v>
      </c>
      <c r="B56" s="180" t="s">
        <v>140</v>
      </c>
      <c r="C56" s="181"/>
      <c r="D56" s="182"/>
      <c r="E56" s="218">
        <v>0</v>
      </c>
      <c r="F56" s="219"/>
      <c r="H56" s="13"/>
    </row>
    <row r="57" spans="1:8" s="11" customFormat="1" x14ac:dyDescent="0.25">
      <c r="A57" s="186" t="s">
        <v>149</v>
      </c>
      <c r="B57" s="187"/>
      <c r="C57" s="187"/>
      <c r="D57" s="188"/>
      <c r="E57" s="218"/>
      <c r="F57" s="219"/>
      <c r="H57" s="13"/>
    </row>
    <row r="58" spans="1:8" s="11" customFormat="1" x14ac:dyDescent="0.25">
      <c r="A58" s="12">
        <v>9</v>
      </c>
      <c r="B58" s="180" t="s">
        <v>141</v>
      </c>
      <c r="C58" s="181"/>
      <c r="D58" s="182"/>
      <c r="E58" s="218">
        <f>7510-289.9045</f>
        <v>7220.0955000000004</v>
      </c>
      <c r="F58" s="219"/>
      <c r="H58" s="13"/>
    </row>
    <row r="59" spans="1:8" s="11" customFormat="1" x14ac:dyDescent="0.25">
      <c r="A59" s="10"/>
      <c r="B59" s="220" t="s">
        <v>20</v>
      </c>
      <c r="C59" s="221"/>
      <c r="D59" s="222"/>
      <c r="E59" s="189">
        <f>SUM(E48:F58)</f>
        <v>79768.457559999995</v>
      </c>
      <c r="F59" s="190"/>
      <c r="H59" s="13">
        <f>E47+E59</f>
        <v>316672.48161000002</v>
      </c>
    </row>
    <row r="60" spans="1:8" x14ac:dyDescent="0.25">
      <c r="A60" s="142" t="s">
        <v>15</v>
      </c>
      <c r="B60" s="142"/>
      <c r="C60" s="142"/>
      <c r="D60" s="142"/>
      <c r="E60" s="149">
        <f>E47+E59</f>
        <v>316672.48161000002</v>
      </c>
      <c r="F60" s="149"/>
    </row>
    <row r="61" spans="1:8" x14ac:dyDescent="0.25">
      <c r="A61" s="130" t="s">
        <v>196</v>
      </c>
      <c r="B61" s="131"/>
      <c r="C61" s="131"/>
      <c r="D61" s="131"/>
      <c r="E61" s="131"/>
      <c r="F61" s="132"/>
    </row>
    <row r="62" spans="1:8" ht="16.5" customHeight="1" x14ac:dyDescent="0.25">
      <c r="A62" s="43" t="s">
        <v>176</v>
      </c>
      <c r="B62" s="109" t="s">
        <v>115</v>
      </c>
      <c r="C62" s="110"/>
      <c r="D62" s="111"/>
      <c r="E62" s="216"/>
      <c r="F62" s="217"/>
    </row>
    <row r="63" spans="1:8" s="11" customFormat="1" x14ac:dyDescent="0.25">
      <c r="A63" s="10" t="s">
        <v>82</v>
      </c>
      <c r="B63" s="206" t="s">
        <v>99</v>
      </c>
      <c r="C63" s="207"/>
      <c r="D63" s="208"/>
      <c r="E63" s="194">
        <f>641.3886</f>
        <v>641.3886</v>
      </c>
      <c r="F63" s="195"/>
      <c r="G63" s="30">
        <v>221.78202999999999</v>
      </c>
      <c r="H63" s="31"/>
    </row>
    <row r="64" spans="1:8" s="11" customFormat="1" ht="15" hidden="1" customHeight="1" x14ac:dyDescent="0.25">
      <c r="A64" s="10"/>
      <c r="B64" s="211" t="s">
        <v>100</v>
      </c>
      <c r="C64" s="212"/>
      <c r="D64" s="213"/>
      <c r="E64" s="214"/>
      <c r="F64" s="215"/>
      <c r="G64" s="32"/>
      <c r="H64" s="33"/>
    </row>
    <row r="65" spans="1:8" s="11" customFormat="1" ht="30" customHeight="1" x14ac:dyDescent="0.25">
      <c r="A65" s="10" t="s">
        <v>177</v>
      </c>
      <c r="B65" s="206" t="s">
        <v>101</v>
      </c>
      <c r="C65" s="207"/>
      <c r="D65" s="208"/>
      <c r="E65" s="194">
        <f>971.00312+632.59082</f>
        <v>1603.59394</v>
      </c>
      <c r="F65" s="195"/>
      <c r="G65" s="30">
        <v>1770.4549</v>
      </c>
      <c r="H65" s="31"/>
    </row>
    <row r="66" spans="1:8" s="11" customFormat="1" x14ac:dyDescent="0.25">
      <c r="A66" s="10" t="s">
        <v>198</v>
      </c>
      <c r="B66" s="206" t="s">
        <v>102</v>
      </c>
      <c r="C66" s="207"/>
      <c r="D66" s="208"/>
      <c r="E66" s="194">
        <f>2715.3216</f>
        <v>2715.3216000000002</v>
      </c>
      <c r="F66" s="195"/>
      <c r="G66" s="30">
        <v>728.18759999999997</v>
      </c>
      <c r="H66" s="31"/>
    </row>
    <row r="67" spans="1:8" s="11" customFormat="1" hidden="1" x14ac:dyDescent="0.25">
      <c r="A67" s="10"/>
      <c r="B67" s="206" t="s">
        <v>103</v>
      </c>
      <c r="C67" s="207"/>
      <c r="D67" s="208"/>
      <c r="E67" s="194"/>
      <c r="F67" s="195"/>
      <c r="G67" s="30">
        <v>1251.7901400000001</v>
      </c>
      <c r="H67" s="31"/>
    </row>
    <row r="68" spans="1:8" s="11" customFormat="1" ht="30" customHeight="1" x14ac:dyDescent="0.25">
      <c r="A68" s="10" t="s">
        <v>199</v>
      </c>
      <c r="B68" s="206" t="s">
        <v>104</v>
      </c>
      <c r="C68" s="207"/>
      <c r="D68" s="208"/>
      <c r="E68" s="194">
        <f>11779.40664</f>
        <v>11779.406639999999</v>
      </c>
      <c r="F68" s="195"/>
      <c r="G68" s="30">
        <v>1538.9378200000001</v>
      </c>
      <c r="H68" s="31"/>
    </row>
    <row r="69" spans="1:8" s="11" customFormat="1" ht="30" hidden="1" customHeight="1" x14ac:dyDescent="0.25">
      <c r="A69" s="10"/>
      <c r="B69" s="211" t="s">
        <v>105</v>
      </c>
      <c r="C69" s="212"/>
      <c r="D69" s="213"/>
      <c r="E69" s="214"/>
      <c r="F69" s="215"/>
      <c r="G69" s="32"/>
      <c r="H69" s="33"/>
    </row>
    <row r="70" spans="1:8" s="11" customFormat="1" ht="15" hidden="1" customHeight="1" x14ac:dyDescent="0.25">
      <c r="A70" s="10"/>
      <c r="B70" s="211" t="s">
        <v>106</v>
      </c>
      <c r="C70" s="212"/>
      <c r="D70" s="213"/>
      <c r="E70" s="214"/>
      <c r="F70" s="215"/>
      <c r="G70" s="32"/>
      <c r="H70" s="33"/>
    </row>
    <row r="71" spans="1:8" s="11" customFormat="1" hidden="1" x14ac:dyDescent="0.25">
      <c r="A71" s="10"/>
      <c r="B71" s="206" t="s">
        <v>107</v>
      </c>
      <c r="C71" s="207"/>
      <c r="D71" s="208"/>
      <c r="E71" s="194"/>
      <c r="F71" s="195"/>
      <c r="G71" s="30">
        <v>502.73543999999998</v>
      </c>
      <c r="H71" s="31"/>
    </row>
    <row r="72" spans="1:8" s="11" customFormat="1" hidden="1" x14ac:dyDescent="0.25">
      <c r="A72" s="10"/>
      <c r="B72" s="206" t="s">
        <v>108</v>
      </c>
      <c r="C72" s="207"/>
      <c r="D72" s="208"/>
      <c r="E72" s="194"/>
      <c r="F72" s="195"/>
      <c r="G72" s="30">
        <v>12961.66188</v>
      </c>
      <c r="H72" s="31"/>
    </row>
    <row r="73" spans="1:8" s="11" customFormat="1" x14ac:dyDescent="0.25">
      <c r="A73" s="10" t="s">
        <v>200</v>
      </c>
      <c r="B73" s="206" t="s">
        <v>109</v>
      </c>
      <c r="C73" s="207"/>
      <c r="D73" s="208"/>
      <c r="E73" s="194">
        <f>43.0405+502.63752+187.58815+1449.66775</f>
        <v>2182.9339199999999</v>
      </c>
      <c r="F73" s="195"/>
      <c r="G73" s="30">
        <v>13598.734350000001</v>
      </c>
      <c r="H73" s="31"/>
    </row>
    <row r="74" spans="1:8" s="11" customFormat="1" ht="45" customHeight="1" x14ac:dyDescent="0.25">
      <c r="A74" s="10"/>
      <c r="B74" s="206" t="s">
        <v>110</v>
      </c>
      <c r="C74" s="207"/>
      <c r="D74" s="208"/>
      <c r="E74" s="236">
        <f>2200.707-596.41</f>
        <v>1604.297</v>
      </c>
      <c r="F74" s="237"/>
      <c r="G74" s="34">
        <v>1685.0765899999999</v>
      </c>
      <c r="H74" s="35"/>
    </row>
    <row r="75" spans="1:8" s="11" customFormat="1" ht="30" customHeight="1" x14ac:dyDescent="0.25">
      <c r="A75" s="10" t="s">
        <v>201</v>
      </c>
      <c r="B75" s="206" t="s">
        <v>111</v>
      </c>
      <c r="C75" s="207"/>
      <c r="D75" s="208"/>
      <c r="E75" s="194">
        <f>7789.27794+170.59024+4111.00082</f>
        <v>12070.868999999999</v>
      </c>
      <c r="F75" s="195"/>
      <c r="G75" s="30">
        <v>761.50048000000004</v>
      </c>
      <c r="H75" s="31"/>
    </row>
    <row r="76" spans="1:8" s="11" customFormat="1" ht="28.5" hidden="1" customHeight="1" x14ac:dyDescent="0.25">
      <c r="A76" s="10"/>
      <c r="B76" s="206" t="s">
        <v>112</v>
      </c>
      <c r="C76" s="207"/>
      <c r="D76" s="208"/>
      <c r="E76" s="194"/>
      <c r="F76" s="195"/>
      <c r="G76" s="30">
        <v>276.89783999999997</v>
      </c>
      <c r="H76" s="31"/>
    </row>
    <row r="77" spans="1:8" s="11" customFormat="1" x14ac:dyDescent="0.25">
      <c r="A77" s="10" t="s">
        <v>203</v>
      </c>
      <c r="B77" s="206" t="s">
        <v>205</v>
      </c>
      <c r="C77" s="207"/>
      <c r="D77" s="208"/>
      <c r="E77" s="194">
        <f>538.7762+252.58372</f>
        <v>791.35991999999999</v>
      </c>
      <c r="F77" s="195"/>
      <c r="G77" s="30">
        <v>30.779779999999999</v>
      </c>
      <c r="H77" s="31"/>
    </row>
    <row r="78" spans="1:8" s="11" customFormat="1" hidden="1" x14ac:dyDescent="0.25">
      <c r="A78" s="10"/>
      <c r="B78" s="206" t="s">
        <v>50</v>
      </c>
      <c r="C78" s="207"/>
      <c r="D78" s="208"/>
      <c r="E78" s="194"/>
      <c r="F78" s="195"/>
      <c r="G78" s="30">
        <v>92.236239999999995</v>
      </c>
      <c r="H78" s="31"/>
    </row>
    <row r="79" spans="1:8" s="11" customFormat="1" x14ac:dyDescent="0.25">
      <c r="A79" s="10" t="s">
        <v>204</v>
      </c>
      <c r="B79" s="206" t="s">
        <v>51</v>
      </c>
      <c r="C79" s="207"/>
      <c r="D79" s="208"/>
      <c r="E79" s="194">
        <v>3830.96558</v>
      </c>
      <c r="F79" s="195"/>
      <c r="G79" s="30">
        <v>3.07402</v>
      </c>
      <c r="H79" s="31"/>
    </row>
    <row r="80" spans="1:8" s="11" customFormat="1" x14ac:dyDescent="0.25">
      <c r="A80" s="12">
        <v>11</v>
      </c>
      <c r="B80" s="199" t="s">
        <v>53</v>
      </c>
      <c r="C80" s="200"/>
      <c r="D80" s="201"/>
      <c r="E80" s="202"/>
      <c r="F80" s="203"/>
      <c r="G80" s="30"/>
      <c r="H80" s="31"/>
    </row>
    <row r="81" spans="1:8" s="11" customFormat="1" x14ac:dyDescent="0.25">
      <c r="A81" s="10" t="s">
        <v>178</v>
      </c>
      <c r="B81" s="191" t="s">
        <v>116</v>
      </c>
      <c r="C81" s="192"/>
      <c r="D81" s="193"/>
      <c r="E81" s="194">
        <f>4646.48482+550.59626+1369.96348</f>
        <v>6567.0445600000003</v>
      </c>
      <c r="F81" s="195"/>
      <c r="G81" s="30">
        <v>5199.18084</v>
      </c>
      <c r="H81" s="31"/>
    </row>
    <row r="82" spans="1:8" s="11" customFormat="1" hidden="1" x14ac:dyDescent="0.25">
      <c r="A82" s="10" t="s">
        <v>179</v>
      </c>
      <c r="B82" s="191" t="s">
        <v>117</v>
      </c>
      <c r="C82" s="192"/>
      <c r="D82" s="193"/>
      <c r="E82" s="194"/>
      <c r="F82" s="195"/>
      <c r="G82" s="30">
        <v>2300</v>
      </c>
      <c r="H82" s="31"/>
    </row>
    <row r="83" spans="1:8" s="11" customFormat="1" hidden="1" x14ac:dyDescent="0.25">
      <c r="A83" s="10" t="s">
        <v>180</v>
      </c>
      <c r="B83" s="191" t="s">
        <v>118</v>
      </c>
      <c r="C83" s="192"/>
      <c r="D83" s="193"/>
      <c r="E83" s="194"/>
      <c r="F83" s="195"/>
      <c r="G83" s="30">
        <v>320</v>
      </c>
      <c r="H83" s="31"/>
    </row>
    <row r="84" spans="1:8" s="11" customFormat="1" ht="15" customHeight="1" x14ac:dyDescent="0.25">
      <c r="A84" s="14" t="s">
        <v>206</v>
      </c>
      <c r="B84" s="196" t="s">
        <v>210</v>
      </c>
      <c r="C84" s="197"/>
      <c r="D84" s="198"/>
      <c r="E84" s="189"/>
      <c r="F84" s="190"/>
      <c r="G84" s="36"/>
      <c r="H84" s="37"/>
    </row>
    <row r="85" spans="1:8" s="11" customFormat="1" x14ac:dyDescent="0.25">
      <c r="A85" s="10" t="s">
        <v>181</v>
      </c>
      <c r="B85" s="180" t="s">
        <v>208</v>
      </c>
      <c r="C85" s="181"/>
      <c r="D85" s="182"/>
      <c r="E85" s="204">
        <v>1137.1258800000001</v>
      </c>
      <c r="F85" s="205"/>
      <c r="G85" s="36"/>
      <c r="H85" s="37"/>
    </row>
    <row r="86" spans="1:8" s="11" customFormat="1" ht="28.5" customHeight="1" x14ac:dyDescent="0.25">
      <c r="A86" s="10" t="s">
        <v>182</v>
      </c>
      <c r="B86" s="180" t="s">
        <v>209</v>
      </c>
      <c r="C86" s="181"/>
      <c r="D86" s="182"/>
      <c r="E86" s="183">
        <f>3428.7614+9698.7386</f>
        <v>13127.5</v>
      </c>
      <c r="F86" s="184"/>
      <c r="G86" s="38">
        <v>17778.384480000001</v>
      </c>
      <c r="H86" s="39"/>
    </row>
    <row r="87" spans="1:8" s="11" customFormat="1" ht="15" customHeight="1" x14ac:dyDescent="0.25">
      <c r="A87" s="15" t="s">
        <v>183</v>
      </c>
      <c r="B87" s="185" t="s">
        <v>151</v>
      </c>
      <c r="C87" s="185"/>
      <c r="D87" s="185"/>
      <c r="E87" s="183"/>
      <c r="F87" s="184"/>
      <c r="G87" s="38"/>
      <c r="H87" s="39"/>
    </row>
    <row r="88" spans="1:8" s="11" customFormat="1" x14ac:dyDescent="0.25">
      <c r="A88" s="10" t="s">
        <v>184</v>
      </c>
      <c r="B88" s="180" t="s">
        <v>56</v>
      </c>
      <c r="C88" s="181"/>
      <c r="D88" s="182"/>
      <c r="E88" s="183">
        <f>142.18292+595.68052</f>
        <v>737.86343999999997</v>
      </c>
      <c r="F88" s="184"/>
      <c r="G88" s="38">
        <v>14.98146</v>
      </c>
      <c r="H88" s="39"/>
    </row>
    <row r="89" spans="1:8" s="11" customFormat="1" ht="15" hidden="1" customHeight="1" x14ac:dyDescent="0.25">
      <c r="A89" s="42"/>
      <c r="B89" s="186" t="s">
        <v>152</v>
      </c>
      <c r="C89" s="187"/>
      <c r="D89" s="188"/>
      <c r="E89" s="189"/>
      <c r="F89" s="190"/>
      <c r="G89" s="36"/>
      <c r="H89" s="37"/>
    </row>
    <row r="90" spans="1:8" s="11" customFormat="1" ht="15" hidden="1" customHeight="1" x14ac:dyDescent="0.25">
      <c r="A90" s="42"/>
      <c r="B90" s="180" t="s">
        <v>140</v>
      </c>
      <c r="C90" s="181"/>
      <c r="D90" s="182"/>
      <c r="E90" s="183"/>
      <c r="F90" s="184"/>
      <c r="G90" s="38">
        <v>920</v>
      </c>
      <c r="H90" s="39"/>
    </row>
    <row r="91" spans="1:8" s="11" customFormat="1" x14ac:dyDescent="0.25">
      <c r="A91" s="15" t="s">
        <v>185</v>
      </c>
      <c r="B91" s="185" t="s">
        <v>153</v>
      </c>
      <c r="C91" s="185"/>
      <c r="D91" s="185"/>
      <c r="E91" s="183"/>
      <c r="F91" s="184"/>
      <c r="G91" s="38"/>
      <c r="H91" s="39"/>
    </row>
    <row r="92" spans="1:8" s="11" customFormat="1" x14ac:dyDescent="0.25">
      <c r="A92" s="10" t="s">
        <v>186</v>
      </c>
      <c r="B92" s="180" t="s">
        <v>141</v>
      </c>
      <c r="C92" s="181"/>
      <c r="D92" s="182"/>
      <c r="E92" s="183">
        <f>766.16456+2690.46844</f>
        <v>3456.6330000000003</v>
      </c>
      <c r="F92" s="184"/>
      <c r="G92" s="38">
        <v>289.90449999999998</v>
      </c>
      <c r="H92" s="39"/>
    </row>
    <row r="93" spans="1:8" ht="15" customHeight="1" x14ac:dyDescent="0.25">
      <c r="A93" s="142" t="s">
        <v>202</v>
      </c>
      <c r="B93" s="142"/>
      <c r="C93" s="142"/>
      <c r="D93" s="142"/>
      <c r="E93" s="176">
        <f>SUM(E62:F92)</f>
        <v>62246.303079999998</v>
      </c>
      <c r="F93" s="177"/>
      <c r="G93" s="40">
        <f>SUM(G62:H92)</f>
        <v>62246.300389999997</v>
      </c>
      <c r="H93" s="41"/>
    </row>
    <row r="94" spans="1:8" x14ac:dyDescent="0.25">
      <c r="A94" s="130"/>
      <c r="B94" s="131"/>
      <c r="C94" s="131"/>
      <c r="D94" s="132"/>
      <c r="E94" s="178"/>
      <c r="F94" s="179"/>
      <c r="G94" s="7"/>
      <c r="H94" s="9"/>
    </row>
    <row r="95" spans="1:8" x14ac:dyDescent="0.25">
      <c r="A95" s="130" t="s">
        <v>197</v>
      </c>
      <c r="B95" s="131"/>
      <c r="C95" s="131"/>
      <c r="D95" s="132"/>
      <c r="E95" s="178">
        <f>E16+E19+E60+E93</f>
        <v>604918.78469</v>
      </c>
      <c r="F95" s="179"/>
      <c r="H95" s="9"/>
    </row>
    <row r="96" spans="1:8" ht="9" customHeight="1" x14ac:dyDescent="0.25">
      <c r="A96" s="19"/>
      <c r="B96" s="19"/>
      <c r="C96" s="19"/>
      <c r="D96" s="19"/>
      <c r="E96" s="20"/>
      <c r="F96" s="20"/>
      <c r="H96" s="9"/>
    </row>
    <row r="97" spans="1:7" x14ac:dyDescent="0.25">
      <c r="A97" s="156" t="s">
        <v>28</v>
      </c>
      <c r="B97" s="156"/>
      <c r="C97" s="156"/>
      <c r="D97" s="156"/>
      <c r="E97" s="174">
        <f>E95*1000</f>
        <v>604918784.69000006</v>
      </c>
      <c r="F97" s="174"/>
      <c r="G97" s="8"/>
    </row>
    <row r="98" spans="1:7" ht="15" customHeight="1" x14ac:dyDescent="0.25">
      <c r="A98" s="154" t="s">
        <v>29</v>
      </c>
      <c r="B98" s="154"/>
      <c r="C98" s="154"/>
      <c r="D98" s="154"/>
      <c r="E98" s="175">
        <f>E97-E97/1.18</f>
        <v>92275746.817118645</v>
      </c>
      <c r="F98" s="175"/>
    </row>
    <row r="99" spans="1:7" ht="8.25" customHeight="1" x14ac:dyDescent="0.25"/>
    <row r="100" spans="1:7" hidden="1" x14ac:dyDescent="0.25"/>
    <row r="101" spans="1:7" ht="30" customHeight="1" x14ac:dyDescent="0.25">
      <c r="A101" s="147" t="s">
        <v>31</v>
      </c>
      <c r="B101" s="147"/>
      <c r="C101" s="147"/>
      <c r="D101" s="147"/>
      <c r="E101" s="147"/>
      <c r="F101" s="147"/>
    </row>
    <row r="102" spans="1:7" ht="8.25" customHeight="1" x14ac:dyDescent="0.25"/>
    <row r="103" spans="1:7" x14ac:dyDescent="0.25">
      <c r="B103" s="44" t="s">
        <v>32</v>
      </c>
      <c r="C103" s="143" t="s">
        <v>33</v>
      </c>
      <c r="D103" s="143"/>
    </row>
    <row r="104" spans="1:7" ht="10.5" customHeight="1" x14ac:dyDescent="0.25">
      <c r="B104" s="171">
        <v>2013</v>
      </c>
      <c r="C104" s="172"/>
      <c r="D104" s="173"/>
    </row>
    <row r="105" spans="1:7" ht="11.25" customHeight="1" x14ac:dyDescent="0.25">
      <c r="B105" s="44" t="s">
        <v>34</v>
      </c>
      <c r="C105" s="167">
        <v>5.63</v>
      </c>
      <c r="D105" s="167"/>
    </row>
    <row r="106" spans="1:7" x14ac:dyDescent="0.25">
      <c r="B106" s="44" t="s">
        <v>35</v>
      </c>
      <c r="C106" s="167">
        <v>4.09</v>
      </c>
      <c r="D106" s="167"/>
    </row>
    <row r="107" spans="1:7" x14ac:dyDescent="0.25">
      <c r="B107" s="44" t="s">
        <v>36</v>
      </c>
      <c r="C107" s="167">
        <v>6.02</v>
      </c>
      <c r="D107" s="167"/>
    </row>
    <row r="108" spans="1:7" ht="12.75" customHeight="1" x14ac:dyDescent="0.25">
      <c r="B108" s="171">
        <v>2014</v>
      </c>
      <c r="C108" s="172"/>
      <c r="D108" s="173"/>
    </row>
    <row r="109" spans="1:7" x14ac:dyDescent="0.25">
      <c r="B109" s="44" t="s">
        <v>34</v>
      </c>
      <c r="C109" s="167">
        <v>6.03</v>
      </c>
      <c r="D109" s="167"/>
    </row>
    <row r="110" spans="1:7" x14ac:dyDescent="0.25">
      <c r="B110" s="44" t="s">
        <v>35</v>
      </c>
      <c r="C110" s="167">
        <v>4.38</v>
      </c>
      <c r="D110" s="167"/>
    </row>
    <row r="111" spans="1:7" x14ac:dyDescent="0.25">
      <c r="B111" s="44" t="s">
        <v>36</v>
      </c>
      <c r="C111" s="167">
        <v>6.45</v>
      </c>
      <c r="D111" s="167"/>
    </row>
    <row r="112" spans="1:7" ht="11.25" customHeight="1" x14ac:dyDescent="0.25"/>
    <row r="113" spans="1:6" ht="11.25" customHeight="1" x14ac:dyDescent="0.25"/>
    <row r="114" spans="1:6" ht="18" customHeight="1" x14ac:dyDescent="0.25">
      <c r="A114" s="168" t="s">
        <v>37</v>
      </c>
      <c r="B114" s="168"/>
      <c r="C114" s="168"/>
      <c r="D114" s="168"/>
      <c r="E114" s="168"/>
      <c r="F114" s="168"/>
    </row>
    <row r="115" spans="1:6" x14ac:dyDescent="0.25">
      <c r="A115" s="16"/>
      <c r="B115" s="16" t="s">
        <v>38</v>
      </c>
      <c r="C115" s="16"/>
      <c r="D115" s="169" t="s">
        <v>188</v>
      </c>
      <c r="E115" s="169"/>
      <c r="F115" s="16"/>
    </row>
    <row r="116" spans="1:6" x14ac:dyDescent="0.25">
      <c r="B116" s="21" t="s">
        <v>190</v>
      </c>
      <c r="D116" s="45" t="s">
        <v>194</v>
      </c>
    </row>
    <row r="117" spans="1:6" x14ac:dyDescent="0.25">
      <c r="B117" s="21" t="s">
        <v>40</v>
      </c>
      <c r="D117" s="170" t="s">
        <v>189</v>
      </c>
      <c r="E117" s="170"/>
      <c r="F117" s="170"/>
    </row>
    <row r="118" spans="1:6" x14ac:dyDescent="0.25">
      <c r="B118" s="21" t="s">
        <v>191</v>
      </c>
    </row>
    <row r="119" spans="1:6" x14ac:dyDescent="0.25">
      <c r="B119" s="21" t="s">
        <v>211</v>
      </c>
    </row>
    <row r="120" spans="1:6" ht="15" customHeight="1" x14ac:dyDescent="0.25">
      <c r="B120" s="21" t="s">
        <v>192</v>
      </c>
      <c r="D120" s="47"/>
      <c r="E120" s="145"/>
      <c r="F120" s="145"/>
    </row>
    <row r="121" spans="1:6" ht="24.75" customHeight="1" x14ac:dyDescent="0.25">
      <c r="A121" s="16"/>
      <c r="B121" s="29"/>
      <c r="C121" s="22" t="s">
        <v>207</v>
      </c>
      <c r="D121" s="18"/>
      <c r="E121" s="145" t="s">
        <v>195</v>
      </c>
      <c r="F121" s="145"/>
    </row>
    <row r="124" spans="1:6" x14ac:dyDescent="0.25">
      <c r="D124" s="47"/>
      <c r="E124" s="147"/>
      <c r="F124" s="147"/>
    </row>
  </sheetData>
  <mergeCells count="191">
    <mergeCell ref="A9:F9"/>
    <mergeCell ref="A10:F10"/>
    <mergeCell ref="B12:D12"/>
    <mergeCell ref="E12:F12"/>
    <mergeCell ref="B13:D13"/>
    <mergeCell ref="E13:F13"/>
    <mergeCell ref="D1:F1"/>
    <mergeCell ref="D2:F2"/>
    <mergeCell ref="D3:F3"/>
    <mergeCell ref="C4:F4"/>
    <mergeCell ref="A7:F7"/>
    <mergeCell ref="A8:F8"/>
    <mergeCell ref="B18:D18"/>
    <mergeCell ref="E18:F18"/>
    <mergeCell ref="A19:D19"/>
    <mergeCell ref="E19:F19"/>
    <mergeCell ref="A20:F20"/>
    <mergeCell ref="A21:F21"/>
    <mergeCell ref="A14:F14"/>
    <mergeCell ref="B15:D15"/>
    <mergeCell ref="E15:F15"/>
    <mergeCell ref="A16:D16"/>
    <mergeCell ref="E16:F16"/>
    <mergeCell ref="A17:F17"/>
    <mergeCell ref="B25:D25"/>
    <mergeCell ref="E25:F25"/>
    <mergeCell ref="B26:D26"/>
    <mergeCell ref="E26:F26"/>
    <mergeCell ref="B27:D27"/>
    <mergeCell ref="E27:F27"/>
    <mergeCell ref="B22:D22"/>
    <mergeCell ref="E22:F22"/>
    <mergeCell ref="B23:D23"/>
    <mergeCell ref="E23:F23"/>
    <mergeCell ref="B24:D24"/>
    <mergeCell ref="E24:F24"/>
    <mergeCell ref="B31:D31"/>
    <mergeCell ref="E31:F31"/>
    <mergeCell ref="B32:D32"/>
    <mergeCell ref="E32:F32"/>
    <mergeCell ref="B33:D33"/>
    <mergeCell ref="E33:F33"/>
    <mergeCell ref="B28:D28"/>
    <mergeCell ref="E28:F28"/>
    <mergeCell ref="B29:D29"/>
    <mergeCell ref="E29:F29"/>
    <mergeCell ref="B30:D30"/>
    <mergeCell ref="E30:F30"/>
    <mergeCell ref="B37:D37"/>
    <mergeCell ref="E37:F37"/>
    <mergeCell ref="B38:D38"/>
    <mergeCell ref="E38:F38"/>
    <mergeCell ref="B39:D39"/>
    <mergeCell ref="E39:F39"/>
    <mergeCell ref="B34:D34"/>
    <mergeCell ref="E34:F34"/>
    <mergeCell ref="B35:D35"/>
    <mergeCell ref="E35:F35"/>
    <mergeCell ref="B36:D36"/>
    <mergeCell ref="E36:F36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  <mergeCell ref="E42:F42"/>
    <mergeCell ref="B49:D49"/>
    <mergeCell ref="E49:F49"/>
    <mergeCell ref="A50:D50"/>
    <mergeCell ref="E50:F50"/>
    <mergeCell ref="B51:D51"/>
    <mergeCell ref="E51:F51"/>
    <mergeCell ref="B46:D46"/>
    <mergeCell ref="E46:F46"/>
    <mergeCell ref="B47:D47"/>
    <mergeCell ref="E47:F47"/>
    <mergeCell ref="A48:D48"/>
    <mergeCell ref="E48:F48"/>
    <mergeCell ref="B55:D55"/>
    <mergeCell ref="E55:F55"/>
    <mergeCell ref="B56:D56"/>
    <mergeCell ref="E56:F56"/>
    <mergeCell ref="A57:D57"/>
    <mergeCell ref="E57:F57"/>
    <mergeCell ref="A52:D52"/>
    <mergeCell ref="E52:F52"/>
    <mergeCell ref="B53:D53"/>
    <mergeCell ref="E53:F53"/>
    <mergeCell ref="A54:D54"/>
    <mergeCell ref="E54:F54"/>
    <mergeCell ref="A61:F61"/>
    <mergeCell ref="B62:D62"/>
    <mergeCell ref="E62:F62"/>
    <mergeCell ref="B63:D63"/>
    <mergeCell ref="E63:F63"/>
    <mergeCell ref="B64:D64"/>
    <mergeCell ref="E64:F64"/>
    <mergeCell ref="B58:D58"/>
    <mergeCell ref="E58:F58"/>
    <mergeCell ref="B59:D59"/>
    <mergeCell ref="E59:F59"/>
    <mergeCell ref="A60:D60"/>
    <mergeCell ref="E60:F60"/>
    <mergeCell ref="B68:D68"/>
    <mergeCell ref="E68:F68"/>
    <mergeCell ref="B69:D69"/>
    <mergeCell ref="E69:F69"/>
    <mergeCell ref="B70:D70"/>
    <mergeCell ref="E70:F70"/>
    <mergeCell ref="B65:D65"/>
    <mergeCell ref="E65:F65"/>
    <mergeCell ref="B66:D66"/>
    <mergeCell ref="E66:F66"/>
    <mergeCell ref="B67:D67"/>
    <mergeCell ref="E67:F67"/>
    <mergeCell ref="B74:D74"/>
    <mergeCell ref="E74:F74"/>
    <mergeCell ref="B75:D75"/>
    <mergeCell ref="E75:F75"/>
    <mergeCell ref="B76:D76"/>
    <mergeCell ref="E76:F76"/>
    <mergeCell ref="B71:D71"/>
    <mergeCell ref="E71:F71"/>
    <mergeCell ref="B72:D72"/>
    <mergeCell ref="E72:F72"/>
    <mergeCell ref="B73:D73"/>
    <mergeCell ref="E73:F73"/>
    <mergeCell ref="B80:D80"/>
    <mergeCell ref="E80:F80"/>
    <mergeCell ref="B81:D81"/>
    <mergeCell ref="E81:F81"/>
    <mergeCell ref="B82:D82"/>
    <mergeCell ref="E82:F82"/>
    <mergeCell ref="B77:D77"/>
    <mergeCell ref="E77:F77"/>
    <mergeCell ref="B78:D78"/>
    <mergeCell ref="E78:F78"/>
    <mergeCell ref="B79:D79"/>
    <mergeCell ref="E79:F79"/>
    <mergeCell ref="B86:D86"/>
    <mergeCell ref="E86:F86"/>
    <mergeCell ref="B87:D87"/>
    <mergeCell ref="E87:F87"/>
    <mergeCell ref="B88:D88"/>
    <mergeCell ref="E88:F88"/>
    <mergeCell ref="B83:D83"/>
    <mergeCell ref="E83:F83"/>
    <mergeCell ref="B84:D84"/>
    <mergeCell ref="E84:F84"/>
    <mergeCell ref="B85:D85"/>
    <mergeCell ref="E85:F85"/>
    <mergeCell ref="B92:D92"/>
    <mergeCell ref="E92:F92"/>
    <mergeCell ref="A93:D93"/>
    <mergeCell ref="E93:F93"/>
    <mergeCell ref="A94:D94"/>
    <mergeCell ref="E94:F94"/>
    <mergeCell ref="B89:D89"/>
    <mergeCell ref="E89:F89"/>
    <mergeCell ref="B90:D90"/>
    <mergeCell ref="E90:F90"/>
    <mergeCell ref="B91:D91"/>
    <mergeCell ref="E91:F91"/>
    <mergeCell ref="A101:F101"/>
    <mergeCell ref="C103:D103"/>
    <mergeCell ref="B104:D104"/>
    <mergeCell ref="C105:D105"/>
    <mergeCell ref="C106:D106"/>
    <mergeCell ref="C107:D107"/>
    <mergeCell ref="A95:D95"/>
    <mergeCell ref="E95:F95"/>
    <mergeCell ref="A97:D97"/>
    <mergeCell ref="E97:F97"/>
    <mergeCell ref="A98:D98"/>
    <mergeCell ref="E98:F98"/>
    <mergeCell ref="D117:F117"/>
    <mergeCell ref="E120:F120"/>
    <mergeCell ref="E121:F121"/>
    <mergeCell ref="E124:F124"/>
    <mergeCell ref="B108:D108"/>
    <mergeCell ref="C109:D109"/>
    <mergeCell ref="C110:D110"/>
    <mergeCell ref="C111:D111"/>
    <mergeCell ref="A114:F114"/>
    <mergeCell ref="D115:E115"/>
  </mergeCells>
  <pageMargins left="0.9055118110236221" right="0.51181102362204722" top="0.55118110236220474" bottom="0.35433070866141736" header="0" footer="0"/>
  <pageSetup paperSize="9" scale="93" fitToHeight="10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view="pageBreakPreview" topLeftCell="A50" zoomScale="130" zoomScaleNormal="100" zoomScaleSheetLayoutView="130" workbookViewId="0">
      <selection activeCell="B65" sqref="B65:D65"/>
    </sheetView>
  </sheetViews>
  <sheetFormatPr defaultColWidth="9.140625" defaultRowHeight="15" x14ac:dyDescent="0.25"/>
  <cols>
    <col min="1" max="1" width="7.28515625" style="50" customWidth="1"/>
    <col min="2" max="2" width="22" style="50" customWidth="1"/>
    <col min="3" max="3" width="27.7109375" style="50" customWidth="1"/>
    <col min="4" max="4" width="22.7109375" style="50" customWidth="1"/>
    <col min="5" max="5" width="10.42578125" style="50" customWidth="1"/>
    <col min="6" max="6" width="9.28515625" style="50" customWidth="1"/>
    <col min="7" max="7" width="12.85546875" style="50" customWidth="1"/>
    <col min="8" max="8" width="16.85546875" style="50" customWidth="1"/>
    <col min="9" max="9" width="9.140625" style="50"/>
    <col min="10" max="10" width="13.7109375" style="50" customWidth="1"/>
    <col min="11" max="16384" width="9.140625" style="50"/>
  </cols>
  <sheetData>
    <row r="1" spans="1:7" s="17" customFormat="1" ht="12" x14ac:dyDescent="0.2">
      <c r="D1" s="235" t="s">
        <v>0</v>
      </c>
      <c r="E1" s="235"/>
      <c r="F1" s="235"/>
      <c r="G1" s="64"/>
    </row>
    <row r="2" spans="1:7" s="17" customFormat="1" ht="12" x14ac:dyDescent="0.2">
      <c r="D2" s="235" t="s">
        <v>157</v>
      </c>
      <c r="E2" s="235"/>
      <c r="F2" s="235"/>
    </row>
    <row r="3" spans="1:7" s="17" customFormat="1" ht="12" x14ac:dyDescent="0.2">
      <c r="D3" s="235" t="s">
        <v>154</v>
      </c>
      <c r="E3" s="235"/>
      <c r="F3" s="235"/>
      <c r="G3" s="64"/>
    </row>
    <row r="4" spans="1:7" s="17" customFormat="1" ht="12" x14ac:dyDescent="0.2">
      <c r="C4" s="235" t="s">
        <v>187</v>
      </c>
      <c r="D4" s="235"/>
      <c r="E4" s="235"/>
      <c r="F4" s="235"/>
    </row>
    <row r="5" spans="1:7" s="17" customFormat="1" ht="12" x14ac:dyDescent="0.2"/>
    <row r="6" spans="1:7" hidden="1" x14ac:dyDescent="0.25"/>
    <row r="7" spans="1:7" x14ac:dyDescent="0.25">
      <c r="A7" s="147" t="s">
        <v>2</v>
      </c>
      <c r="B7" s="147"/>
      <c r="C7" s="147"/>
      <c r="D7" s="147"/>
      <c r="E7" s="147"/>
      <c r="F7" s="147"/>
    </row>
    <row r="8" spans="1:7" x14ac:dyDescent="0.25">
      <c r="A8" s="147" t="s">
        <v>3</v>
      </c>
      <c r="B8" s="147"/>
      <c r="C8" s="147"/>
      <c r="D8" s="147"/>
      <c r="E8" s="147"/>
      <c r="F8" s="147"/>
    </row>
    <row r="9" spans="1:7" x14ac:dyDescent="0.25">
      <c r="A9" s="147" t="s">
        <v>156</v>
      </c>
      <c r="B9" s="147"/>
      <c r="C9" s="147"/>
      <c r="D9" s="147"/>
      <c r="E9" s="147"/>
      <c r="F9" s="147"/>
    </row>
    <row r="10" spans="1:7" ht="16.5" customHeight="1" x14ac:dyDescent="0.25">
      <c r="A10" s="146" t="s">
        <v>155</v>
      </c>
      <c r="B10" s="146"/>
      <c r="C10" s="146"/>
      <c r="D10" s="146"/>
      <c r="E10" s="146"/>
      <c r="F10" s="146"/>
    </row>
    <row r="11" spans="1:7" ht="9" customHeight="1" x14ac:dyDescent="0.25"/>
    <row r="12" spans="1:7" ht="43.5" customHeight="1" x14ac:dyDescent="0.25">
      <c r="A12" s="53" t="s">
        <v>5</v>
      </c>
      <c r="B12" s="231" t="s">
        <v>7</v>
      </c>
      <c r="C12" s="232"/>
      <c r="D12" s="233"/>
      <c r="E12" s="143" t="s">
        <v>8</v>
      </c>
      <c r="F12" s="143"/>
    </row>
    <row r="13" spans="1:7" ht="13.5" customHeight="1" x14ac:dyDescent="0.25">
      <c r="A13" s="49">
        <v>1</v>
      </c>
      <c r="B13" s="234">
        <v>2</v>
      </c>
      <c r="C13" s="137"/>
      <c r="D13" s="138"/>
      <c r="E13" s="234">
        <v>3</v>
      </c>
      <c r="F13" s="138"/>
    </row>
    <row r="14" spans="1:7" ht="13.5" customHeight="1" x14ac:dyDescent="0.25">
      <c r="A14" s="142" t="s">
        <v>16</v>
      </c>
      <c r="B14" s="142"/>
      <c r="C14" s="142"/>
      <c r="D14" s="142"/>
      <c r="E14" s="142"/>
      <c r="F14" s="142"/>
    </row>
    <row r="15" spans="1:7" x14ac:dyDescent="0.25">
      <c r="A15" s="49">
        <v>1</v>
      </c>
      <c r="B15" s="88" t="s">
        <v>12</v>
      </c>
      <c r="C15" s="89"/>
      <c r="D15" s="90"/>
      <c r="E15" s="139">
        <v>131675.818</v>
      </c>
      <c r="F15" s="140"/>
    </row>
    <row r="16" spans="1:7" x14ac:dyDescent="0.25">
      <c r="A16" s="130" t="s">
        <v>18</v>
      </c>
      <c r="B16" s="131"/>
      <c r="C16" s="131"/>
      <c r="D16" s="131"/>
      <c r="E16" s="150">
        <f>SUM(E15:F15)</f>
        <v>131675.818</v>
      </c>
      <c r="F16" s="151"/>
    </row>
    <row r="17" spans="1:8" x14ac:dyDescent="0.25">
      <c r="A17" s="142" t="s">
        <v>19</v>
      </c>
      <c r="B17" s="142"/>
      <c r="C17" s="142"/>
      <c r="D17" s="142"/>
      <c r="E17" s="142"/>
      <c r="F17" s="142"/>
    </row>
    <row r="18" spans="1:8" ht="15" customHeight="1" x14ac:dyDescent="0.25">
      <c r="A18" s="6">
        <v>2</v>
      </c>
      <c r="B18" s="152" t="s">
        <v>12</v>
      </c>
      <c r="C18" s="152"/>
      <c r="D18" s="152"/>
      <c r="E18" s="148">
        <v>94324.182000000001</v>
      </c>
      <c r="F18" s="148"/>
    </row>
    <row r="19" spans="1:8" x14ac:dyDescent="0.25">
      <c r="A19" s="142" t="s">
        <v>13</v>
      </c>
      <c r="B19" s="142"/>
      <c r="C19" s="142"/>
      <c r="D19" s="142"/>
      <c r="E19" s="153">
        <f>SUM(E18:F18)</f>
        <v>94324.182000000001</v>
      </c>
      <c r="F19" s="153"/>
    </row>
    <row r="20" spans="1:8" x14ac:dyDescent="0.25">
      <c r="A20" s="142" t="s">
        <v>193</v>
      </c>
      <c r="B20" s="142"/>
      <c r="C20" s="142"/>
      <c r="D20" s="142"/>
      <c r="E20" s="142"/>
      <c r="F20" s="142"/>
    </row>
    <row r="21" spans="1:8" s="11" customFormat="1" x14ac:dyDescent="0.25">
      <c r="A21" s="230" t="s">
        <v>9</v>
      </c>
      <c r="B21" s="230"/>
      <c r="C21" s="230"/>
      <c r="D21" s="230"/>
      <c r="E21" s="230"/>
      <c r="F21" s="230"/>
      <c r="H21" s="13"/>
    </row>
    <row r="22" spans="1:8" s="11" customFormat="1" hidden="1" x14ac:dyDescent="0.25">
      <c r="A22" s="10">
        <v>5</v>
      </c>
      <c r="B22" s="227" t="s">
        <v>114</v>
      </c>
      <c r="C22" s="228"/>
      <c r="D22" s="229"/>
      <c r="E22" s="189"/>
      <c r="F22" s="190"/>
      <c r="H22" s="13"/>
    </row>
    <row r="23" spans="1:8" s="11" customFormat="1" hidden="1" x14ac:dyDescent="0.25">
      <c r="A23" s="10"/>
      <c r="B23" s="206"/>
      <c r="C23" s="207"/>
      <c r="D23" s="208"/>
      <c r="E23" s="225">
        <v>0</v>
      </c>
      <c r="F23" s="226"/>
      <c r="H23" s="13"/>
    </row>
    <row r="24" spans="1:8" s="11" customFormat="1" hidden="1" x14ac:dyDescent="0.25">
      <c r="A24" s="10"/>
      <c r="B24" s="206"/>
      <c r="C24" s="207"/>
      <c r="D24" s="208"/>
      <c r="E24" s="225">
        <v>0</v>
      </c>
      <c r="F24" s="226"/>
      <c r="H24" s="13"/>
    </row>
    <row r="25" spans="1:8" s="11" customFormat="1" ht="15.75" x14ac:dyDescent="0.25">
      <c r="A25" s="10" t="s">
        <v>158</v>
      </c>
      <c r="B25" s="196" t="s">
        <v>115</v>
      </c>
      <c r="C25" s="197"/>
      <c r="D25" s="198"/>
      <c r="E25" s="225"/>
      <c r="F25" s="226"/>
      <c r="H25" s="13"/>
    </row>
    <row r="26" spans="1:8" s="11" customFormat="1" x14ac:dyDescent="0.25">
      <c r="A26" s="10" t="s">
        <v>159</v>
      </c>
      <c r="B26" s="206" t="s">
        <v>99</v>
      </c>
      <c r="C26" s="207"/>
      <c r="D26" s="208"/>
      <c r="E26" s="218">
        <f>9370-221.78203</f>
        <v>9148.2179699999997</v>
      </c>
      <c r="F26" s="219"/>
      <c r="H26" s="13"/>
    </row>
    <row r="27" spans="1:8" s="11" customFormat="1" x14ac:dyDescent="0.25">
      <c r="A27" s="10" t="s">
        <v>160</v>
      </c>
      <c r="B27" s="206" t="s">
        <v>100</v>
      </c>
      <c r="C27" s="207"/>
      <c r="D27" s="208"/>
      <c r="E27" s="218">
        <f>54420-15866.31308</f>
        <v>38553.68692</v>
      </c>
      <c r="F27" s="219"/>
      <c r="H27" s="13"/>
    </row>
    <row r="28" spans="1:8" s="11" customFormat="1" ht="16.5" customHeight="1" x14ac:dyDescent="0.25">
      <c r="A28" s="10" t="s">
        <v>161</v>
      </c>
      <c r="B28" s="238" t="s">
        <v>101</v>
      </c>
      <c r="C28" s="239"/>
      <c r="D28" s="240"/>
      <c r="E28" s="218">
        <f>19680-1770.4549</f>
        <v>17909.545099999999</v>
      </c>
      <c r="F28" s="219"/>
      <c r="H28" s="13"/>
    </row>
    <row r="29" spans="1:8" s="11" customFormat="1" x14ac:dyDescent="0.25">
      <c r="A29" s="10" t="s">
        <v>162</v>
      </c>
      <c r="B29" s="206" t="s">
        <v>102</v>
      </c>
      <c r="C29" s="207"/>
      <c r="D29" s="208"/>
      <c r="E29" s="218">
        <f>4848-728.1876</f>
        <v>4119.8123999999998</v>
      </c>
      <c r="F29" s="219"/>
      <c r="H29" s="13"/>
    </row>
    <row r="30" spans="1:8" s="11" customFormat="1" x14ac:dyDescent="0.25">
      <c r="A30" s="10" t="s">
        <v>163</v>
      </c>
      <c r="B30" s="206" t="s">
        <v>103</v>
      </c>
      <c r="C30" s="207"/>
      <c r="D30" s="208"/>
      <c r="E30" s="218">
        <f>32301-1251.79014</f>
        <v>31049.209859999999</v>
      </c>
      <c r="F30" s="219"/>
      <c r="H30" s="13"/>
    </row>
    <row r="31" spans="1:8" s="11" customFormat="1" ht="30" customHeight="1" x14ac:dyDescent="0.25">
      <c r="A31" s="10" t="s">
        <v>164</v>
      </c>
      <c r="B31" s="206" t="s">
        <v>104</v>
      </c>
      <c r="C31" s="207"/>
      <c r="D31" s="208"/>
      <c r="E31" s="218">
        <f>12052-1538.93782</f>
        <v>10513.062180000001</v>
      </c>
      <c r="F31" s="219"/>
      <c r="H31" s="13"/>
    </row>
    <row r="32" spans="1:8" s="11" customFormat="1" ht="30" hidden="1" customHeight="1" x14ac:dyDescent="0.25">
      <c r="A32" s="10" t="s">
        <v>64</v>
      </c>
      <c r="B32" s="206" t="s">
        <v>105</v>
      </c>
      <c r="C32" s="207"/>
      <c r="D32" s="208"/>
      <c r="E32" s="218">
        <v>0</v>
      </c>
      <c r="F32" s="219"/>
      <c r="H32" s="13"/>
    </row>
    <row r="33" spans="1:8" s="11" customFormat="1" x14ac:dyDescent="0.25">
      <c r="A33" s="10" t="s">
        <v>165</v>
      </c>
      <c r="B33" s="206" t="s">
        <v>106</v>
      </c>
      <c r="C33" s="207"/>
      <c r="D33" s="208"/>
      <c r="E33" s="218">
        <f>20000-12449.26592</f>
        <v>7550.7340800000002</v>
      </c>
      <c r="F33" s="219"/>
      <c r="H33" s="13"/>
    </row>
    <row r="34" spans="1:8" s="11" customFormat="1" x14ac:dyDescent="0.25">
      <c r="A34" s="10" t="s">
        <v>166</v>
      </c>
      <c r="B34" s="206" t="s">
        <v>107</v>
      </c>
      <c r="C34" s="207"/>
      <c r="D34" s="208"/>
      <c r="E34" s="218">
        <f>5700-502.73544</f>
        <v>5197.2645599999996</v>
      </c>
      <c r="F34" s="219"/>
      <c r="H34" s="13"/>
    </row>
    <row r="35" spans="1:8" s="11" customFormat="1" x14ac:dyDescent="0.25">
      <c r="A35" s="10" t="s">
        <v>167</v>
      </c>
      <c r="B35" s="206" t="s">
        <v>108</v>
      </c>
      <c r="C35" s="207"/>
      <c r="D35" s="208"/>
      <c r="E35" s="218">
        <f>24130-12961.66188</f>
        <v>11168.33812</v>
      </c>
      <c r="F35" s="219"/>
      <c r="H35" s="13"/>
    </row>
    <row r="36" spans="1:8" s="11" customFormat="1" x14ac:dyDescent="0.25">
      <c r="A36" s="10" t="s">
        <v>168</v>
      </c>
      <c r="B36" s="206" t="s">
        <v>109</v>
      </c>
      <c r="C36" s="207"/>
      <c r="D36" s="208"/>
      <c r="E36" s="218">
        <f>30000-13598.73435</f>
        <v>16401.265650000001</v>
      </c>
      <c r="F36" s="219"/>
      <c r="H36" s="13"/>
    </row>
    <row r="37" spans="1:8" s="11" customFormat="1" ht="45" customHeight="1" x14ac:dyDescent="0.25">
      <c r="A37" s="10" t="s">
        <v>169</v>
      </c>
      <c r="B37" s="206" t="s">
        <v>110</v>
      </c>
      <c r="C37" s="207"/>
      <c r="D37" s="208"/>
      <c r="E37" s="204">
        <f>19980.633-1685.07659</f>
        <v>18295.556410000001</v>
      </c>
      <c r="F37" s="205"/>
      <c r="H37" s="13"/>
    </row>
    <row r="38" spans="1:8" s="11" customFormat="1" ht="16.5" customHeight="1" x14ac:dyDescent="0.25">
      <c r="A38" s="10" t="s">
        <v>170</v>
      </c>
      <c r="B38" s="238" t="s">
        <v>111</v>
      </c>
      <c r="C38" s="239"/>
      <c r="D38" s="240"/>
      <c r="E38" s="218">
        <f>2700-761.50048</f>
        <v>1938.4995199999998</v>
      </c>
      <c r="F38" s="219"/>
      <c r="H38" s="13"/>
    </row>
    <row r="39" spans="1:8" s="11" customFormat="1" ht="30" customHeight="1" x14ac:dyDescent="0.25">
      <c r="A39" s="10" t="s">
        <v>171</v>
      </c>
      <c r="B39" s="206" t="s">
        <v>112</v>
      </c>
      <c r="C39" s="207"/>
      <c r="D39" s="208"/>
      <c r="E39" s="218">
        <f>4945-276.89784</f>
        <v>4668.1021600000004</v>
      </c>
      <c r="F39" s="219"/>
      <c r="H39" s="13"/>
    </row>
    <row r="40" spans="1:8" s="11" customFormat="1" x14ac:dyDescent="0.25">
      <c r="A40" s="10" t="s">
        <v>172</v>
      </c>
      <c r="B40" s="206" t="s">
        <v>113</v>
      </c>
      <c r="C40" s="207"/>
      <c r="D40" s="208"/>
      <c r="E40" s="218">
        <f>860-30.77978</f>
        <v>829.22022000000004</v>
      </c>
      <c r="F40" s="219"/>
      <c r="H40" s="13"/>
    </row>
    <row r="41" spans="1:8" s="11" customFormat="1" x14ac:dyDescent="0.25">
      <c r="A41" s="10" t="s">
        <v>173</v>
      </c>
      <c r="B41" s="206" t="s">
        <v>50</v>
      </c>
      <c r="C41" s="207"/>
      <c r="D41" s="208"/>
      <c r="E41" s="218">
        <f>13846-92.23624</f>
        <v>13753.76376</v>
      </c>
      <c r="F41" s="219"/>
      <c r="H41" s="13"/>
    </row>
    <row r="42" spans="1:8" s="11" customFormat="1" x14ac:dyDescent="0.25">
      <c r="A42" s="10" t="s">
        <v>174</v>
      </c>
      <c r="B42" s="206" t="s">
        <v>51</v>
      </c>
      <c r="C42" s="207"/>
      <c r="D42" s="208"/>
      <c r="E42" s="218">
        <f>4930-3.07402</f>
        <v>4926.92598</v>
      </c>
      <c r="F42" s="219"/>
      <c r="H42" s="13"/>
    </row>
    <row r="43" spans="1:8" s="11" customFormat="1" x14ac:dyDescent="0.25">
      <c r="A43" s="12">
        <v>4</v>
      </c>
      <c r="B43" s="199" t="s">
        <v>53</v>
      </c>
      <c r="C43" s="200"/>
      <c r="D43" s="201"/>
      <c r="E43" s="218"/>
      <c r="F43" s="219"/>
      <c r="H43" s="13"/>
    </row>
    <row r="44" spans="1:8" s="11" customFormat="1" x14ac:dyDescent="0.25">
      <c r="A44" s="10" t="s">
        <v>175</v>
      </c>
      <c r="B44" s="191" t="s">
        <v>116</v>
      </c>
      <c r="C44" s="192"/>
      <c r="D44" s="193"/>
      <c r="E44" s="218">
        <f>46080-5199.18084</f>
        <v>40880.819159999999</v>
      </c>
      <c r="F44" s="219"/>
      <c r="H44" s="13"/>
    </row>
    <row r="45" spans="1:8" s="11" customFormat="1" hidden="1" x14ac:dyDescent="0.25">
      <c r="A45" s="10" t="s">
        <v>76</v>
      </c>
      <c r="B45" s="191" t="s">
        <v>117</v>
      </c>
      <c r="C45" s="192"/>
      <c r="D45" s="193"/>
      <c r="E45" s="218">
        <v>0</v>
      </c>
      <c r="F45" s="219"/>
      <c r="H45" s="13"/>
    </row>
    <row r="46" spans="1:8" s="11" customFormat="1" hidden="1" x14ac:dyDescent="0.25">
      <c r="A46" s="10" t="s">
        <v>77</v>
      </c>
      <c r="B46" s="191" t="s">
        <v>118</v>
      </c>
      <c r="C46" s="192"/>
      <c r="D46" s="193"/>
      <c r="E46" s="218">
        <v>0</v>
      </c>
      <c r="F46" s="219"/>
      <c r="H46" s="13"/>
    </row>
    <row r="47" spans="1:8" s="11" customFormat="1" x14ac:dyDescent="0.25">
      <c r="A47" s="10"/>
      <c r="B47" s="220" t="s">
        <v>20</v>
      </c>
      <c r="C47" s="221"/>
      <c r="D47" s="222"/>
      <c r="E47" s="223">
        <f>SUM(E22:F46)</f>
        <v>236904.02405000001</v>
      </c>
      <c r="F47" s="224"/>
      <c r="H47" s="13"/>
    </row>
    <row r="48" spans="1:8" s="11" customFormat="1" x14ac:dyDescent="0.25">
      <c r="A48" s="196" t="s">
        <v>54</v>
      </c>
      <c r="B48" s="197"/>
      <c r="C48" s="197"/>
      <c r="D48" s="198"/>
      <c r="E48" s="189"/>
      <c r="F48" s="190"/>
      <c r="H48" s="13"/>
    </row>
    <row r="49" spans="1:8" s="11" customFormat="1" ht="27" customHeight="1" x14ac:dyDescent="0.25">
      <c r="A49" s="12">
        <v>5</v>
      </c>
      <c r="B49" s="180" t="s">
        <v>134</v>
      </c>
      <c r="C49" s="181"/>
      <c r="D49" s="182"/>
      <c r="E49" s="218">
        <f>58020-17778.38448</f>
        <v>40241.615519999999</v>
      </c>
      <c r="F49" s="219"/>
      <c r="H49" s="13">
        <f>E47+E49+E51+E53+E55+E58</f>
        <v>316672.48161000002</v>
      </c>
    </row>
    <row r="50" spans="1:8" s="11" customFormat="1" x14ac:dyDescent="0.25">
      <c r="A50" s="186" t="s">
        <v>55</v>
      </c>
      <c r="B50" s="187"/>
      <c r="C50" s="187"/>
      <c r="D50" s="188"/>
      <c r="E50" s="189"/>
      <c r="F50" s="190"/>
      <c r="H50" s="13"/>
    </row>
    <row r="51" spans="1:8" s="11" customFormat="1" x14ac:dyDescent="0.25">
      <c r="A51" s="12">
        <v>6</v>
      </c>
      <c r="B51" s="191" t="s">
        <v>135</v>
      </c>
      <c r="C51" s="192"/>
      <c r="D51" s="193"/>
      <c r="E51" s="218">
        <v>3016.489</v>
      </c>
      <c r="F51" s="219"/>
      <c r="H51" s="13" t="e">
        <f>#REF!+#REF!</f>
        <v>#REF!</v>
      </c>
    </row>
    <row r="52" spans="1:8" s="11" customFormat="1" ht="15" customHeight="1" x14ac:dyDescent="0.25">
      <c r="A52" s="186" t="s">
        <v>137</v>
      </c>
      <c r="B52" s="187"/>
      <c r="C52" s="187"/>
      <c r="D52" s="188"/>
      <c r="E52" s="218"/>
      <c r="F52" s="219"/>
      <c r="H52" s="13"/>
    </row>
    <row r="53" spans="1:8" s="11" customFormat="1" x14ac:dyDescent="0.25">
      <c r="A53" s="12">
        <v>7</v>
      </c>
      <c r="B53" s="180" t="s">
        <v>56</v>
      </c>
      <c r="C53" s="181"/>
      <c r="D53" s="182"/>
      <c r="E53" s="218">
        <f>22553.339-14.98146</f>
        <v>22538.357540000001</v>
      </c>
      <c r="F53" s="219"/>
      <c r="H53" s="13"/>
    </row>
    <row r="54" spans="1:8" s="11" customFormat="1" x14ac:dyDescent="0.25">
      <c r="A54" s="186" t="s">
        <v>138</v>
      </c>
      <c r="B54" s="187"/>
      <c r="C54" s="187"/>
      <c r="D54" s="188"/>
      <c r="E54" s="189"/>
      <c r="F54" s="190"/>
      <c r="H54" s="13"/>
    </row>
    <row r="55" spans="1:8" s="11" customFormat="1" x14ac:dyDescent="0.25">
      <c r="A55" s="12">
        <v>8</v>
      </c>
      <c r="B55" s="191" t="s">
        <v>139</v>
      </c>
      <c r="C55" s="192"/>
      <c r="D55" s="193"/>
      <c r="E55" s="218">
        <v>6751.9</v>
      </c>
      <c r="F55" s="219"/>
      <c r="H55" s="13"/>
    </row>
    <row r="56" spans="1:8" s="11" customFormat="1" ht="15" hidden="1" customHeight="1" x14ac:dyDescent="0.25">
      <c r="A56" s="12">
        <v>13</v>
      </c>
      <c r="B56" s="180" t="s">
        <v>140</v>
      </c>
      <c r="C56" s="181"/>
      <c r="D56" s="182"/>
      <c r="E56" s="218">
        <v>0</v>
      </c>
      <c r="F56" s="219"/>
      <c r="H56" s="13"/>
    </row>
    <row r="57" spans="1:8" s="11" customFormat="1" x14ac:dyDescent="0.25">
      <c r="A57" s="186" t="s">
        <v>149</v>
      </c>
      <c r="B57" s="187"/>
      <c r="C57" s="187"/>
      <c r="D57" s="188"/>
      <c r="E57" s="218"/>
      <c r="F57" s="219"/>
      <c r="H57" s="13"/>
    </row>
    <row r="58" spans="1:8" s="11" customFormat="1" x14ac:dyDescent="0.25">
      <c r="A58" s="12">
        <v>9</v>
      </c>
      <c r="B58" s="180" t="s">
        <v>141</v>
      </c>
      <c r="C58" s="181"/>
      <c r="D58" s="182"/>
      <c r="E58" s="218">
        <f>7510-289.9045</f>
        <v>7220.0955000000004</v>
      </c>
      <c r="F58" s="219"/>
      <c r="H58" s="13"/>
    </row>
    <row r="59" spans="1:8" s="11" customFormat="1" x14ac:dyDescent="0.25">
      <c r="A59" s="10"/>
      <c r="B59" s="220" t="s">
        <v>20</v>
      </c>
      <c r="C59" s="221"/>
      <c r="D59" s="222"/>
      <c r="E59" s="189">
        <f>SUM(E48:F58)</f>
        <v>79768.457559999995</v>
      </c>
      <c r="F59" s="190"/>
      <c r="H59" s="13">
        <f>E47+E59</f>
        <v>316672.48161000002</v>
      </c>
    </row>
    <row r="60" spans="1:8" x14ac:dyDescent="0.25">
      <c r="A60" s="142" t="s">
        <v>15</v>
      </c>
      <c r="B60" s="142"/>
      <c r="C60" s="142"/>
      <c r="D60" s="142"/>
      <c r="E60" s="149">
        <f>E47+E59</f>
        <v>316672.48161000002</v>
      </c>
      <c r="F60" s="149"/>
    </row>
    <row r="61" spans="1:8" x14ac:dyDescent="0.25">
      <c r="A61" s="130" t="s">
        <v>196</v>
      </c>
      <c r="B61" s="131"/>
      <c r="C61" s="131"/>
      <c r="D61" s="131"/>
      <c r="E61" s="131"/>
      <c r="F61" s="132"/>
    </row>
    <row r="62" spans="1:8" ht="16.5" customHeight="1" x14ac:dyDescent="0.25">
      <c r="A62" s="52" t="s">
        <v>176</v>
      </c>
      <c r="B62" s="109" t="s">
        <v>115</v>
      </c>
      <c r="C62" s="110"/>
      <c r="D62" s="111"/>
      <c r="E62" s="216"/>
      <c r="F62" s="217"/>
    </row>
    <row r="63" spans="1:8" s="11" customFormat="1" x14ac:dyDescent="0.25">
      <c r="A63" s="10" t="s">
        <v>82</v>
      </c>
      <c r="B63" s="206" t="s">
        <v>217</v>
      </c>
      <c r="C63" s="207"/>
      <c r="D63" s="208"/>
      <c r="E63" s="194">
        <v>728.18759999999997</v>
      </c>
      <c r="F63" s="195"/>
      <c r="G63" s="30">
        <v>221.78202999999999</v>
      </c>
      <c r="H63" s="55">
        <f>543677*1.18</f>
        <v>641538.86</v>
      </c>
    </row>
    <row r="64" spans="1:8" s="11" customFormat="1" ht="30" customHeight="1" x14ac:dyDescent="0.25">
      <c r="A64" s="10" t="s">
        <v>177</v>
      </c>
      <c r="B64" s="206" t="s">
        <v>101</v>
      </c>
      <c r="C64" s="207"/>
      <c r="D64" s="208"/>
      <c r="E64" s="194">
        <f t="shared" ref="E64:E91" si="0">H64/1000</f>
        <v>1603.9539399999999</v>
      </c>
      <c r="F64" s="195"/>
      <c r="G64" s="30">
        <v>1770.4549</v>
      </c>
      <c r="H64" s="55">
        <f>(822884+536399)*1.18</f>
        <v>1603953.94</v>
      </c>
    </row>
    <row r="65" spans="1:8" s="11" customFormat="1" x14ac:dyDescent="0.25">
      <c r="A65" s="10" t="s">
        <v>198</v>
      </c>
      <c r="B65" s="206" t="s">
        <v>102</v>
      </c>
      <c r="C65" s="207"/>
      <c r="D65" s="208"/>
      <c r="E65" s="194">
        <f t="shared" si="0"/>
        <v>2715.3215999999998</v>
      </c>
      <c r="F65" s="195"/>
      <c r="G65" s="30">
        <v>728.18759999999997</v>
      </c>
      <c r="H65" s="55">
        <f>2301120*1.18</f>
        <v>2715321.5999999996</v>
      </c>
    </row>
    <row r="66" spans="1:8" s="11" customFormat="1" ht="15" customHeight="1" x14ac:dyDescent="0.25">
      <c r="A66" s="10"/>
      <c r="B66" s="206" t="s">
        <v>103</v>
      </c>
      <c r="C66" s="207"/>
      <c r="D66" s="208"/>
      <c r="E66" s="194">
        <f t="shared" si="0"/>
        <v>0</v>
      </c>
      <c r="F66" s="195"/>
      <c r="G66" s="30">
        <v>1251.7901400000001</v>
      </c>
      <c r="H66" s="55"/>
    </row>
    <row r="67" spans="1:8" s="11" customFormat="1" ht="30" customHeight="1" x14ac:dyDescent="0.25">
      <c r="A67" s="10" t="s">
        <v>199</v>
      </c>
      <c r="B67" s="206" t="s">
        <v>104</v>
      </c>
      <c r="C67" s="207"/>
      <c r="D67" s="208"/>
      <c r="E67" s="194">
        <f t="shared" si="0"/>
        <v>11779.406639999999</v>
      </c>
      <c r="F67" s="195"/>
      <c r="G67" s="30">
        <v>1538.9378200000001</v>
      </c>
      <c r="H67" s="55">
        <f>9982548*1.18</f>
        <v>11779406.639999999</v>
      </c>
    </row>
    <row r="68" spans="1:8" s="11" customFormat="1" ht="30" customHeight="1" x14ac:dyDescent="0.25">
      <c r="A68" s="10"/>
      <c r="B68" s="211" t="s">
        <v>105</v>
      </c>
      <c r="C68" s="212"/>
      <c r="D68" s="213"/>
      <c r="E68" s="194">
        <f t="shared" si="0"/>
        <v>0</v>
      </c>
      <c r="F68" s="195"/>
      <c r="G68" s="32"/>
      <c r="H68" s="56"/>
    </row>
    <row r="69" spans="1:8" s="11" customFormat="1" ht="15" customHeight="1" x14ac:dyDescent="0.25">
      <c r="A69" s="10"/>
      <c r="B69" s="211" t="s">
        <v>106</v>
      </c>
      <c r="C69" s="212"/>
      <c r="D69" s="213"/>
      <c r="E69" s="194">
        <f t="shared" si="0"/>
        <v>0</v>
      </c>
      <c r="F69" s="195"/>
      <c r="G69" s="32"/>
      <c r="H69" s="56"/>
    </row>
    <row r="70" spans="1:8" s="11" customFormat="1" ht="15" customHeight="1" x14ac:dyDescent="0.25">
      <c r="A70" s="10"/>
      <c r="B70" s="206" t="s">
        <v>107</v>
      </c>
      <c r="C70" s="207"/>
      <c r="D70" s="208"/>
      <c r="E70" s="194">
        <f t="shared" si="0"/>
        <v>0</v>
      </c>
      <c r="F70" s="195"/>
      <c r="G70" s="30">
        <v>502.73543999999998</v>
      </c>
      <c r="H70" s="55"/>
    </row>
    <row r="71" spans="1:8" s="11" customFormat="1" ht="15" customHeight="1" x14ac:dyDescent="0.25">
      <c r="A71" s="10"/>
      <c r="B71" s="206" t="s">
        <v>108</v>
      </c>
      <c r="C71" s="207"/>
      <c r="D71" s="208"/>
      <c r="E71" s="194">
        <f t="shared" si="0"/>
        <v>0</v>
      </c>
      <c r="F71" s="195"/>
      <c r="G71" s="30">
        <v>12961.66188</v>
      </c>
      <c r="H71" s="55"/>
    </row>
    <row r="72" spans="1:8" s="11" customFormat="1" x14ac:dyDescent="0.25">
      <c r="A72" s="10" t="s">
        <v>200</v>
      </c>
      <c r="B72" s="206" t="s">
        <v>109</v>
      </c>
      <c r="C72" s="207"/>
      <c r="D72" s="208"/>
      <c r="E72" s="194">
        <f t="shared" si="0"/>
        <v>2182.9339199999999</v>
      </c>
      <c r="F72" s="195"/>
      <c r="G72" s="30">
        <v>13598.734350000001</v>
      </c>
      <c r="H72" s="55">
        <f>(36475+1228531+158974+425964)*1.18</f>
        <v>2182933.92</v>
      </c>
    </row>
    <row r="73" spans="1:8" s="11" customFormat="1" ht="45" customHeight="1" x14ac:dyDescent="0.25">
      <c r="A73" s="10"/>
      <c r="B73" s="206" t="s">
        <v>110</v>
      </c>
      <c r="C73" s="207"/>
      <c r="D73" s="208"/>
      <c r="E73" s="194">
        <f t="shared" si="0"/>
        <v>0</v>
      </c>
      <c r="F73" s="195"/>
      <c r="G73" s="34">
        <v>1685.0765899999999</v>
      </c>
      <c r="H73" s="57"/>
    </row>
    <row r="74" spans="1:8" s="11" customFormat="1" ht="30" customHeight="1" x14ac:dyDescent="0.25">
      <c r="A74" s="10" t="s">
        <v>201</v>
      </c>
      <c r="B74" s="206" t="s">
        <v>111</v>
      </c>
      <c r="C74" s="207"/>
      <c r="D74" s="208"/>
      <c r="E74" s="194">
        <f t="shared" si="0"/>
        <v>12070.869000000001</v>
      </c>
      <c r="F74" s="195"/>
      <c r="G74" s="30">
        <v>761.50048000000004</v>
      </c>
      <c r="H74" s="55">
        <f>(144568+3483899+6601083)*1.18</f>
        <v>12070869</v>
      </c>
    </row>
    <row r="75" spans="1:8" s="11" customFormat="1" ht="28.5" customHeight="1" x14ac:dyDescent="0.25">
      <c r="A75" s="10"/>
      <c r="B75" s="206" t="s">
        <v>112</v>
      </c>
      <c r="C75" s="207"/>
      <c r="D75" s="208"/>
      <c r="E75" s="194">
        <f t="shared" si="0"/>
        <v>0</v>
      </c>
      <c r="F75" s="195"/>
      <c r="G75" s="30">
        <v>276.89783999999997</v>
      </c>
      <c r="H75" s="55"/>
    </row>
    <row r="76" spans="1:8" s="11" customFormat="1" x14ac:dyDescent="0.25">
      <c r="A76" s="10" t="s">
        <v>203</v>
      </c>
      <c r="B76" s="206" t="s">
        <v>205</v>
      </c>
      <c r="C76" s="207"/>
      <c r="D76" s="208"/>
      <c r="E76" s="194">
        <f t="shared" si="0"/>
        <v>791.35991999999987</v>
      </c>
      <c r="F76" s="195"/>
      <c r="G76" s="30">
        <v>30.779779999999999</v>
      </c>
      <c r="H76" s="55">
        <f>(456590+214054)*1.18</f>
        <v>791359.91999999993</v>
      </c>
    </row>
    <row r="77" spans="1:8" s="11" customFormat="1" ht="15" customHeight="1" x14ac:dyDescent="0.25">
      <c r="A77" s="10"/>
      <c r="B77" s="206" t="s">
        <v>50</v>
      </c>
      <c r="C77" s="207"/>
      <c r="D77" s="208"/>
      <c r="E77" s="194">
        <f t="shared" si="0"/>
        <v>0</v>
      </c>
      <c r="F77" s="195"/>
      <c r="G77" s="30">
        <v>92.236239999999995</v>
      </c>
      <c r="H77" s="55"/>
    </row>
    <row r="78" spans="1:8" s="11" customFormat="1" x14ac:dyDescent="0.25">
      <c r="A78" s="10" t="s">
        <v>204</v>
      </c>
      <c r="B78" s="206" t="s">
        <v>51</v>
      </c>
      <c r="C78" s="207"/>
      <c r="D78" s="208"/>
      <c r="E78" s="194">
        <f t="shared" si="0"/>
        <v>0</v>
      </c>
      <c r="F78" s="195"/>
      <c r="G78" s="30">
        <v>3.07402</v>
      </c>
      <c r="H78" s="55">
        <v>0</v>
      </c>
    </row>
    <row r="79" spans="1:8" s="11" customFormat="1" x14ac:dyDescent="0.25">
      <c r="A79" s="12">
        <v>11</v>
      </c>
      <c r="B79" s="199" t="s">
        <v>53</v>
      </c>
      <c r="C79" s="200"/>
      <c r="D79" s="201"/>
      <c r="E79" s="194"/>
      <c r="F79" s="195"/>
      <c r="G79" s="30"/>
      <c r="H79" s="55"/>
    </row>
    <row r="80" spans="1:8" s="11" customFormat="1" x14ac:dyDescent="0.25">
      <c r="A80" s="10" t="s">
        <v>178</v>
      </c>
      <c r="B80" s="191" t="s">
        <v>116</v>
      </c>
      <c r="C80" s="192"/>
      <c r="D80" s="193"/>
      <c r="E80" s="194">
        <f t="shared" si="0"/>
        <v>6567.0445599999994</v>
      </c>
      <c r="F80" s="195"/>
      <c r="G80" s="30">
        <v>5199.18084</v>
      </c>
      <c r="H80" s="55">
        <f>(466607+1160986+3937699)*1.18</f>
        <v>6567044.5599999996</v>
      </c>
    </row>
    <row r="81" spans="1:8" s="11" customFormat="1" ht="15" customHeight="1" x14ac:dyDescent="0.25">
      <c r="A81" s="10" t="s">
        <v>179</v>
      </c>
      <c r="B81" s="191" t="s">
        <v>117</v>
      </c>
      <c r="C81" s="192"/>
      <c r="D81" s="193"/>
      <c r="E81" s="194">
        <f t="shared" si="0"/>
        <v>0</v>
      </c>
      <c r="F81" s="195"/>
      <c r="G81" s="30">
        <v>2300</v>
      </c>
      <c r="H81" s="55"/>
    </row>
    <row r="82" spans="1:8" s="11" customFormat="1" ht="15" customHeight="1" x14ac:dyDescent="0.25">
      <c r="A82" s="10" t="s">
        <v>180</v>
      </c>
      <c r="B82" s="191" t="s">
        <v>118</v>
      </c>
      <c r="C82" s="192"/>
      <c r="D82" s="193"/>
      <c r="E82" s="194">
        <f t="shared" si="0"/>
        <v>0</v>
      </c>
      <c r="F82" s="195"/>
      <c r="G82" s="30">
        <v>320</v>
      </c>
      <c r="H82" s="55"/>
    </row>
    <row r="83" spans="1:8" s="11" customFormat="1" ht="15" customHeight="1" x14ac:dyDescent="0.25">
      <c r="A83" s="14" t="s">
        <v>206</v>
      </c>
      <c r="B83" s="196" t="s">
        <v>210</v>
      </c>
      <c r="C83" s="197"/>
      <c r="D83" s="198"/>
      <c r="E83" s="194"/>
      <c r="F83" s="195"/>
      <c r="G83" s="36"/>
      <c r="H83" s="61"/>
    </row>
    <row r="84" spans="1:8" s="11" customFormat="1" x14ac:dyDescent="0.25">
      <c r="A84" s="10" t="s">
        <v>181</v>
      </c>
      <c r="B84" s="180" t="s">
        <v>208</v>
      </c>
      <c r="C84" s="181"/>
      <c r="D84" s="182"/>
      <c r="E84" s="194">
        <f t="shared" si="0"/>
        <v>1137.1258799999998</v>
      </c>
      <c r="F84" s="195"/>
      <c r="G84" s="36"/>
      <c r="H84" s="61">
        <f>963666*1.18</f>
        <v>1137125.8799999999</v>
      </c>
    </row>
    <row r="85" spans="1:8" s="11" customFormat="1" ht="28.5" customHeight="1" x14ac:dyDescent="0.25">
      <c r="A85" s="10" t="s">
        <v>182</v>
      </c>
      <c r="B85" s="180" t="s">
        <v>209</v>
      </c>
      <c r="C85" s="181"/>
      <c r="D85" s="182"/>
      <c r="E85" s="194">
        <f t="shared" si="0"/>
        <v>9745.8772399999998</v>
      </c>
      <c r="F85" s="195"/>
      <c r="G85" s="38">
        <v>17778.384480000001</v>
      </c>
      <c r="H85" s="59">
        <f>(2905730+5353488)*1.18</f>
        <v>9745877.2400000002</v>
      </c>
    </row>
    <row r="86" spans="1:8" s="11" customFormat="1" ht="15" customHeight="1" x14ac:dyDescent="0.25">
      <c r="A86" s="15" t="s">
        <v>183</v>
      </c>
      <c r="B86" s="185" t="s">
        <v>151</v>
      </c>
      <c r="C86" s="185"/>
      <c r="D86" s="185"/>
      <c r="E86" s="194"/>
      <c r="F86" s="195"/>
      <c r="G86" s="38"/>
      <c r="H86" s="59"/>
    </row>
    <row r="87" spans="1:8" s="11" customFormat="1" x14ac:dyDescent="0.25">
      <c r="A87" s="10" t="s">
        <v>184</v>
      </c>
      <c r="B87" s="180" t="s">
        <v>56</v>
      </c>
      <c r="C87" s="181"/>
      <c r="D87" s="182"/>
      <c r="E87" s="194">
        <f t="shared" si="0"/>
        <v>9554.2351200000012</v>
      </c>
      <c r="F87" s="195"/>
      <c r="G87" s="38">
        <v>14.98146</v>
      </c>
      <c r="H87" s="59">
        <f>(650916+5027368)*1.18+2853860</f>
        <v>9554235.120000001</v>
      </c>
    </row>
    <row r="88" spans="1:8" s="11" customFormat="1" ht="15" customHeight="1" x14ac:dyDescent="0.25">
      <c r="A88" s="42"/>
      <c r="B88" s="186" t="s">
        <v>152</v>
      </c>
      <c r="C88" s="187"/>
      <c r="D88" s="188"/>
      <c r="E88" s="194">
        <f t="shared" si="0"/>
        <v>0</v>
      </c>
      <c r="F88" s="195"/>
      <c r="G88" s="36"/>
      <c r="H88" s="58"/>
    </row>
    <row r="89" spans="1:8" s="11" customFormat="1" ht="15" customHeight="1" x14ac:dyDescent="0.25">
      <c r="A89" s="42"/>
      <c r="B89" s="180" t="s">
        <v>140</v>
      </c>
      <c r="C89" s="181"/>
      <c r="D89" s="182"/>
      <c r="E89" s="194">
        <f t="shared" si="0"/>
        <v>0</v>
      </c>
      <c r="F89" s="195"/>
      <c r="G89" s="38">
        <v>920</v>
      </c>
      <c r="H89" s="59"/>
    </row>
    <row r="90" spans="1:8" s="11" customFormat="1" x14ac:dyDescent="0.25">
      <c r="A90" s="15" t="s">
        <v>185</v>
      </c>
      <c r="B90" s="185" t="s">
        <v>153</v>
      </c>
      <c r="C90" s="185"/>
      <c r="D90" s="185"/>
      <c r="E90" s="194"/>
      <c r="F90" s="195"/>
      <c r="G90" s="38"/>
      <c r="H90" s="59"/>
    </row>
    <row r="91" spans="1:8" s="11" customFormat="1" x14ac:dyDescent="0.25">
      <c r="A91" s="10" t="s">
        <v>186</v>
      </c>
      <c r="B91" s="180" t="s">
        <v>141</v>
      </c>
      <c r="C91" s="181"/>
      <c r="D91" s="182"/>
      <c r="E91" s="194">
        <f t="shared" si="0"/>
        <v>3456.6329999999998</v>
      </c>
      <c r="F91" s="195"/>
      <c r="G91" s="38">
        <v>289.90449999999998</v>
      </c>
      <c r="H91" s="59">
        <f>(2280058+649292)*1.18</f>
        <v>3456633</v>
      </c>
    </row>
    <row r="92" spans="1:8" ht="15" customHeight="1" x14ac:dyDescent="0.25">
      <c r="A92" s="142" t="s">
        <v>202</v>
      </c>
      <c r="B92" s="142"/>
      <c r="C92" s="142"/>
      <c r="D92" s="142"/>
      <c r="E92" s="176">
        <f>SUM(E62:F91)</f>
        <v>62332.948420000001</v>
      </c>
      <c r="F92" s="177"/>
      <c r="G92" s="40">
        <f>SUM(G62:G91)</f>
        <v>62246.300389999997</v>
      </c>
      <c r="H92" s="60"/>
    </row>
    <row r="93" spans="1:8" x14ac:dyDescent="0.25">
      <c r="A93" s="130"/>
      <c r="B93" s="131"/>
      <c r="C93" s="131"/>
      <c r="D93" s="132"/>
      <c r="E93" s="178"/>
      <c r="F93" s="179"/>
      <c r="G93" s="7">
        <f>G92-E92</f>
        <v>-86.648030000003928</v>
      </c>
      <c r="H93" s="9"/>
    </row>
    <row r="94" spans="1:8" x14ac:dyDescent="0.25">
      <c r="A94" s="130" t="s">
        <v>197</v>
      </c>
      <c r="B94" s="131"/>
      <c r="C94" s="131"/>
      <c r="D94" s="132"/>
      <c r="E94" s="178">
        <f>E16+E19+E60+E92</f>
        <v>605005.43003000005</v>
      </c>
      <c r="F94" s="179"/>
      <c r="H94" s="9"/>
    </row>
    <row r="95" spans="1:8" ht="9" customHeight="1" x14ac:dyDescent="0.25">
      <c r="A95" s="19"/>
      <c r="B95" s="19"/>
      <c r="C95" s="19"/>
      <c r="D95" s="19"/>
      <c r="E95" s="20"/>
      <c r="F95" s="20"/>
      <c r="H95" s="9"/>
    </row>
    <row r="96" spans="1:8" x14ac:dyDescent="0.25">
      <c r="A96" s="156" t="s">
        <v>28</v>
      </c>
      <c r="B96" s="156"/>
      <c r="C96" s="156"/>
      <c r="D96" s="156"/>
      <c r="E96" s="174">
        <f>E94*1000</f>
        <v>605005430.03000009</v>
      </c>
      <c r="F96" s="174"/>
      <c r="G96" s="8"/>
    </row>
    <row r="97" spans="1:6" ht="15" customHeight="1" x14ac:dyDescent="0.25">
      <c r="A97" s="154" t="s">
        <v>29</v>
      </c>
      <c r="B97" s="154"/>
      <c r="C97" s="154"/>
      <c r="D97" s="154"/>
      <c r="E97" s="175">
        <f>E96-E96/1.18</f>
        <v>92288963.902881324</v>
      </c>
      <c r="F97" s="175"/>
    </row>
    <row r="98" spans="1:6" ht="8.25" customHeight="1" x14ac:dyDescent="0.25"/>
    <row r="99" spans="1:6" hidden="1" x14ac:dyDescent="0.25"/>
    <row r="100" spans="1:6" ht="30" customHeight="1" x14ac:dyDescent="0.25">
      <c r="A100" s="147" t="s">
        <v>31</v>
      </c>
      <c r="B100" s="147"/>
      <c r="C100" s="147"/>
      <c r="D100" s="147"/>
      <c r="E100" s="147"/>
      <c r="F100" s="147"/>
    </row>
    <row r="101" spans="1:6" ht="8.25" customHeight="1" x14ac:dyDescent="0.25"/>
    <row r="102" spans="1:6" x14ac:dyDescent="0.25">
      <c r="B102" s="53" t="s">
        <v>32</v>
      </c>
      <c r="C102" s="143" t="s">
        <v>33</v>
      </c>
      <c r="D102" s="143"/>
    </row>
    <row r="103" spans="1:6" ht="10.5" customHeight="1" x14ac:dyDescent="0.25">
      <c r="B103" s="171">
        <v>2013</v>
      </c>
      <c r="C103" s="172"/>
      <c r="D103" s="173"/>
    </row>
    <row r="104" spans="1:6" ht="11.25" customHeight="1" x14ac:dyDescent="0.25">
      <c r="B104" s="53" t="s">
        <v>34</v>
      </c>
      <c r="C104" s="167">
        <v>5.63</v>
      </c>
      <c r="D104" s="167"/>
    </row>
    <row r="105" spans="1:6" x14ac:dyDescent="0.25">
      <c r="B105" s="53" t="s">
        <v>35</v>
      </c>
      <c r="C105" s="167">
        <v>4.09</v>
      </c>
      <c r="D105" s="167"/>
    </row>
    <row r="106" spans="1:6" x14ac:dyDescent="0.25">
      <c r="B106" s="53" t="s">
        <v>36</v>
      </c>
      <c r="C106" s="167">
        <v>6.02</v>
      </c>
      <c r="D106" s="167"/>
    </row>
    <row r="107" spans="1:6" ht="12.75" customHeight="1" x14ac:dyDescent="0.25">
      <c r="B107" s="171">
        <v>2014</v>
      </c>
      <c r="C107" s="172"/>
      <c r="D107" s="173"/>
    </row>
    <row r="108" spans="1:6" x14ac:dyDescent="0.25">
      <c r="B108" s="53" t="s">
        <v>34</v>
      </c>
      <c r="C108" s="167">
        <v>6.03</v>
      </c>
      <c r="D108" s="167"/>
    </row>
    <row r="109" spans="1:6" x14ac:dyDescent="0.25">
      <c r="B109" s="53" t="s">
        <v>35</v>
      </c>
      <c r="C109" s="167">
        <v>4.38</v>
      </c>
      <c r="D109" s="167"/>
    </row>
    <row r="110" spans="1:6" x14ac:dyDescent="0.25">
      <c r="B110" s="53" t="s">
        <v>36</v>
      </c>
      <c r="C110" s="167">
        <v>6.45</v>
      </c>
      <c r="D110" s="167"/>
    </row>
    <row r="111" spans="1:6" ht="11.25" customHeight="1" x14ac:dyDescent="0.25"/>
    <row r="112" spans="1:6" ht="11.25" customHeight="1" x14ac:dyDescent="0.25"/>
    <row r="113" spans="1:6" s="54" customFormat="1" x14ac:dyDescent="0.25">
      <c r="A113" s="63" t="s">
        <v>212</v>
      </c>
    </row>
    <row r="114" spans="1:6" s="54" customFormat="1" x14ac:dyDescent="0.25">
      <c r="A114" s="63" t="s">
        <v>213</v>
      </c>
      <c r="E114" s="62" t="s">
        <v>215</v>
      </c>
    </row>
    <row r="115" spans="1:6" s="54" customFormat="1" x14ac:dyDescent="0.25">
      <c r="A115" s="63"/>
      <c r="E115" s="62"/>
    </row>
    <row r="116" spans="1:6" s="54" customFormat="1" x14ac:dyDescent="0.25">
      <c r="A116" s="63"/>
      <c r="E116" s="62"/>
    </row>
    <row r="117" spans="1:6" s="54" customFormat="1" x14ac:dyDescent="0.25">
      <c r="A117" s="63" t="s">
        <v>214</v>
      </c>
      <c r="E117" s="62" t="s">
        <v>216</v>
      </c>
    </row>
    <row r="118" spans="1:6" s="54" customFormat="1" ht="11.25" customHeight="1" x14ac:dyDescent="0.25">
      <c r="A118" s="22"/>
    </row>
    <row r="119" spans="1:6" s="54" customFormat="1" ht="11.25" customHeight="1" x14ac:dyDescent="0.25"/>
    <row r="120" spans="1:6" s="54" customFormat="1" ht="11.25" customHeight="1" x14ac:dyDescent="0.25"/>
    <row r="121" spans="1:6" ht="18" customHeight="1" x14ac:dyDescent="0.25">
      <c r="A121" s="168" t="s">
        <v>37</v>
      </c>
      <c r="B121" s="168"/>
      <c r="C121" s="168"/>
      <c r="D121" s="168"/>
      <c r="E121" s="168"/>
      <c r="F121" s="168"/>
    </row>
    <row r="122" spans="1:6" x14ac:dyDescent="0.25">
      <c r="A122" s="16"/>
      <c r="B122" s="16" t="s">
        <v>38</v>
      </c>
      <c r="C122" s="16"/>
      <c r="D122" s="169" t="s">
        <v>188</v>
      </c>
      <c r="E122" s="169"/>
      <c r="F122" s="16"/>
    </row>
    <row r="123" spans="1:6" x14ac:dyDescent="0.25">
      <c r="B123" s="21" t="s">
        <v>190</v>
      </c>
      <c r="D123" s="50" t="s">
        <v>194</v>
      </c>
    </row>
    <row r="124" spans="1:6" x14ac:dyDescent="0.25">
      <c r="B124" s="21" t="s">
        <v>40</v>
      </c>
      <c r="D124" s="170" t="s">
        <v>189</v>
      </c>
      <c r="E124" s="170"/>
      <c r="F124" s="170"/>
    </row>
    <row r="125" spans="1:6" x14ac:dyDescent="0.25">
      <c r="B125" s="21" t="s">
        <v>191</v>
      </c>
    </row>
    <row r="126" spans="1:6" x14ac:dyDescent="0.25">
      <c r="B126" s="21" t="s">
        <v>211</v>
      </c>
    </row>
    <row r="127" spans="1:6" ht="15" customHeight="1" x14ac:dyDescent="0.25">
      <c r="B127" s="21" t="s">
        <v>192</v>
      </c>
      <c r="D127" s="51"/>
      <c r="E127" s="145"/>
      <c r="F127" s="145"/>
    </row>
    <row r="128" spans="1:6" ht="24.75" customHeight="1" x14ac:dyDescent="0.25">
      <c r="A128" s="16"/>
      <c r="B128" s="29"/>
      <c r="C128" s="22" t="s">
        <v>207</v>
      </c>
      <c r="D128" s="18"/>
      <c r="E128" s="145" t="s">
        <v>195</v>
      </c>
      <c r="F128" s="145"/>
    </row>
    <row r="131" spans="4:6" x14ac:dyDescent="0.25">
      <c r="D131" s="51"/>
      <c r="E131" s="147"/>
      <c r="F131" s="147"/>
    </row>
  </sheetData>
  <mergeCells count="189">
    <mergeCell ref="D124:F124"/>
    <mergeCell ref="E127:F127"/>
    <mergeCell ref="E128:F128"/>
    <mergeCell ref="E131:F131"/>
    <mergeCell ref="B107:D107"/>
    <mergeCell ref="C108:D108"/>
    <mergeCell ref="C109:D109"/>
    <mergeCell ref="C110:D110"/>
    <mergeCell ref="A121:F121"/>
    <mergeCell ref="D122:E122"/>
    <mergeCell ref="A100:F100"/>
    <mergeCell ref="C102:D102"/>
    <mergeCell ref="B103:D103"/>
    <mergeCell ref="C104:D104"/>
    <mergeCell ref="C105:D105"/>
    <mergeCell ref="C106:D106"/>
    <mergeCell ref="A94:D94"/>
    <mergeCell ref="E94:F94"/>
    <mergeCell ref="A96:D96"/>
    <mergeCell ref="E96:F96"/>
    <mergeCell ref="A97:D97"/>
    <mergeCell ref="E97:F97"/>
    <mergeCell ref="B91:D91"/>
    <mergeCell ref="E91:F91"/>
    <mergeCell ref="A92:D92"/>
    <mergeCell ref="E92:F92"/>
    <mergeCell ref="A93:D93"/>
    <mergeCell ref="E93:F93"/>
    <mergeCell ref="B88:D88"/>
    <mergeCell ref="E88:F88"/>
    <mergeCell ref="B89:D89"/>
    <mergeCell ref="E89:F89"/>
    <mergeCell ref="B90:D90"/>
    <mergeCell ref="E90:F90"/>
    <mergeCell ref="B85:D85"/>
    <mergeCell ref="E85:F85"/>
    <mergeCell ref="B86:D86"/>
    <mergeCell ref="E86:F86"/>
    <mergeCell ref="B87:D87"/>
    <mergeCell ref="E87:F87"/>
    <mergeCell ref="B82:D82"/>
    <mergeCell ref="E82:F82"/>
    <mergeCell ref="B83:D83"/>
    <mergeCell ref="E83:F83"/>
    <mergeCell ref="B84:D84"/>
    <mergeCell ref="E84:F84"/>
    <mergeCell ref="B79:D79"/>
    <mergeCell ref="E79:F79"/>
    <mergeCell ref="B80:D80"/>
    <mergeCell ref="E80:F80"/>
    <mergeCell ref="B81:D81"/>
    <mergeCell ref="E81:F81"/>
    <mergeCell ref="B76:D76"/>
    <mergeCell ref="E76:F76"/>
    <mergeCell ref="B77:D77"/>
    <mergeCell ref="E77:F77"/>
    <mergeCell ref="B78:D78"/>
    <mergeCell ref="E78:F78"/>
    <mergeCell ref="B73:D73"/>
    <mergeCell ref="E73:F73"/>
    <mergeCell ref="B74:D74"/>
    <mergeCell ref="E74:F74"/>
    <mergeCell ref="B75:D75"/>
    <mergeCell ref="E75:F75"/>
    <mergeCell ref="B70:D70"/>
    <mergeCell ref="E70:F70"/>
    <mergeCell ref="B71:D71"/>
    <mergeCell ref="E71:F71"/>
    <mergeCell ref="B72:D72"/>
    <mergeCell ref="E72:F72"/>
    <mergeCell ref="B67:D67"/>
    <mergeCell ref="E67:F67"/>
    <mergeCell ref="B68:D68"/>
    <mergeCell ref="E68:F68"/>
    <mergeCell ref="B69:D69"/>
    <mergeCell ref="E69:F69"/>
    <mergeCell ref="B64:D64"/>
    <mergeCell ref="E64:F64"/>
    <mergeCell ref="B65:D65"/>
    <mergeCell ref="E65:F65"/>
    <mergeCell ref="B66:D66"/>
    <mergeCell ref="E66:F66"/>
    <mergeCell ref="A61:F61"/>
    <mergeCell ref="B62:D62"/>
    <mergeCell ref="E62:F62"/>
    <mergeCell ref="B63:D63"/>
    <mergeCell ref="E63:F63"/>
    <mergeCell ref="B58:D58"/>
    <mergeCell ref="E58:F58"/>
    <mergeCell ref="B59:D59"/>
    <mergeCell ref="E59:F59"/>
    <mergeCell ref="A60:D60"/>
    <mergeCell ref="E60:F60"/>
    <mergeCell ref="B55:D55"/>
    <mergeCell ref="E55:F55"/>
    <mergeCell ref="B56:D56"/>
    <mergeCell ref="E56:F56"/>
    <mergeCell ref="A57:D57"/>
    <mergeCell ref="E57:F57"/>
    <mergeCell ref="A52:D52"/>
    <mergeCell ref="E52:F52"/>
    <mergeCell ref="B53:D53"/>
    <mergeCell ref="E53:F53"/>
    <mergeCell ref="A54:D54"/>
    <mergeCell ref="E54:F54"/>
    <mergeCell ref="B49:D49"/>
    <mergeCell ref="E49:F49"/>
    <mergeCell ref="A50:D50"/>
    <mergeCell ref="E50:F50"/>
    <mergeCell ref="B51:D51"/>
    <mergeCell ref="E51:F51"/>
    <mergeCell ref="B46:D46"/>
    <mergeCell ref="E46:F46"/>
    <mergeCell ref="B47:D47"/>
    <mergeCell ref="E47:F47"/>
    <mergeCell ref="A48:D48"/>
    <mergeCell ref="E48:F48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  <mergeCell ref="E42:F42"/>
    <mergeCell ref="B37:D37"/>
    <mergeCell ref="E37:F37"/>
    <mergeCell ref="B38:D38"/>
    <mergeCell ref="E38:F38"/>
    <mergeCell ref="B39:D39"/>
    <mergeCell ref="E39:F39"/>
    <mergeCell ref="B34:D34"/>
    <mergeCell ref="E34:F34"/>
    <mergeCell ref="B35:D35"/>
    <mergeCell ref="E35:F35"/>
    <mergeCell ref="B36:D36"/>
    <mergeCell ref="E36:F36"/>
    <mergeCell ref="B31:D31"/>
    <mergeCell ref="E31:F31"/>
    <mergeCell ref="B32:D32"/>
    <mergeCell ref="E32:F32"/>
    <mergeCell ref="B33:D33"/>
    <mergeCell ref="E33:F33"/>
    <mergeCell ref="B28:D28"/>
    <mergeCell ref="E28:F28"/>
    <mergeCell ref="B29:D29"/>
    <mergeCell ref="E29:F29"/>
    <mergeCell ref="B30:D30"/>
    <mergeCell ref="E30:F30"/>
    <mergeCell ref="B25:D25"/>
    <mergeCell ref="E25:F25"/>
    <mergeCell ref="B26:D26"/>
    <mergeCell ref="E26:F26"/>
    <mergeCell ref="B27:D27"/>
    <mergeCell ref="E27:F27"/>
    <mergeCell ref="B22:D22"/>
    <mergeCell ref="E22:F22"/>
    <mergeCell ref="B23:D23"/>
    <mergeCell ref="E23:F23"/>
    <mergeCell ref="B24:D24"/>
    <mergeCell ref="E24:F24"/>
    <mergeCell ref="B18:D18"/>
    <mergeCell ref="E18:F18"/>
    <mergeCell ref="A19:D19"/>
    <mergeCell ref="E19:F19"/>
    <mergeCell ref="A20:F20"/>
    <mergeCell ref="A21:F21"/>
    <mergeCell ref="A14:F14"/>
    <mergeCell ref="B15:D15"/>
    <mergeCell ref="E15:F15"/>
    <mergeCell ref="A16:D16"/>
    <mergeCell ref="E16:F16"/>
    <mergeCell ref="A17:F17"/>
    <mergeCell ref="A9:F9"/>
    <mergeCell ref="A10:F10"/>
    <mergeCell ref="B12:D12"/>
    <mergeCell ref="E12:F12"/>
    <mergeCell ref="B13:D13"/>
    <mergeCell ref="E13:F13"/>
    <mergeCell ref="D1:F1"/>
    <mergeCell ref="D2:F2"/>
    <mergeCell ref="D3:F3"/>
    <mergeCell ref="C4:F4"/>
    <mergeCell ref="A7:F7"/>
    <mergeCell ref="A8:F8"/>
  </mergeCells>
  <printOptions horizontalCentered="1"/>
  <pageMargins left="0.51181102362204722" right="0.51181102362204722" top="0.35433070866141736" bottom="0.35433070866141736" header="0" footer="0"/>
  <pageSetup paperSize="9" scale="93" fitToHeight="100" orientation="portrait" r:id="rId1"/>
  <headerFooter alignWithMargins="0"/>
  <rowBreaks count="1" manualBreakCount="1">
    <brk id="120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abSelected="1" view="pageBreakPreview" topLeftCell="A14" zoomScaleNormal="100" zoomScaleSheetLayoutView="100" workbookViewId="0">
      <selection activeCell="D81" sqref="D81"/>
    </sheetView>
  </sheetViews>
  <sheetFormatPr defaultColWidth="9.140625" defaultRowHeight="15" x14ac:dyDescent="0.25"/>
  <cols>
    <col min="1" max="1" width="7.28515625" style="65" customWidth="1"/>
    <col min="2" max="2" width="27.28515625" style="65" customWidth="1"/>
    <col min="3" max="3" width="27.7109375" style="65" customWidth="1"/>
    <col min="4" max="4" width="23.42578125" style="65" customWidth="1"/>
    <col min="5" max="5" width="17.42578125" style="65" customWidth="1"/>
    <col min="6" max="6" width="8.28515625" style="65" customWidth="1"/>
    <col min="7" max="7" width="28.42578125" style="65" customWidth="1"/>
    <col min="8" max="8" width="12" style="65" customWidth="1"/>
    <col min="9" max="16384" width="9.140625" style="65"/>
  </cols>
  <sheetData>
    <row r="1" spans="1:8" hidden="1" x14ac:dyDescent="0.25"/>
    <row r="2" spans="1:8" x14ac:dyDescent="0.25">
      <c r="A2" s="256" t="s">
        <v>219</v>
      </c>
      <c r="B2" s="256"/>
      <c r="C2" s="256"/>
      <c r="D2" s="256"/>
      <c r="E2" s="256"/>
      <c r="F2" s="256"/>
    </row>
    <row r="3" spans="1:8" ht="41.25" customHeight="1" x14ac:dyDescent="0.25">
      <c r="A3" s="257" t="s">
        <v>232</v>
      </c>
      <c r="B3" s="257"/>
      <c r="C3" s="257"/>
      <c r="D3" s="257"/>
      <c r="E3" s="257"/>
      <c r="F3" s="257"/>
    </row>
    <row r="4" spans="1:8" ht="32.25" customHeight="1" x14ac:dyDescent="0.25">
      <c r="A4" s="258" t="s">
        <v>227</v>
      </c>
      <c r="B4" s="259"/>
      <c r="C4" s="259"/>
      <c r="D4" s="259"/>
      <c r="E4" s="259"/>
      <c r="F4" s="259"/>
    </row>
    <row r="5" spans="1:8" ht="33" customHeight="1" x14ac:dyDescent="0.25">
      <c r="A5" s="258" t="s">
        <v>226</v>
      </c>
      <c r="B5" s="258"/>
      <c r="C5" s="258"/>
      <c r="D5" s="258"/>
      <c r="E5" s="258"/>
      <c r="F5" s="258"/>
    </row>
    <row r="6" spans="1:8" ht="43.5" customHeight="1" x14ac:dyDescent="0.25">
      <c r="A6" s="75" t="s">
        <v>5</v>
      </c>
      <c r="B6" s="241" t="s">
        <v>7</v>
      </c>
      <c r="C6" s="242"/>
      <c r="D6" s="243"/>
      <c r="E6" s="241" t="s">
        <v>225</v>
      </c>
      <c r="F6" s="243"/>
    </row>
    <row r="7" spans="1:8" ht="18.75" customHeight="1" x14ac:dyDescent="0.25">
      <c r="A7" s="79" t="s">
        <v>231</v>
      </c>
      <c r="B7" s="260" t="s">
        <v>233</v>
      </c>
      <c r="C7" s="261"/>
      <c r="D7" s="262"/>
      <c r="E7" s="263"/>
      <c r="F7" s="264"/>
    </row>
    <row r="8" spans="1:8" x14ac:dyDescent="0.25">
      <c r="A8" s="78" t="s">
        <v>220</v>
      </c>
      <c r="B8" s="241" t="s">
        <v>314</v>
      </c>
      <c r="C8" s="242"/>
      <c r="D8" s="243"/>
      <c r="E8" s="267">
        <v>1949415.31</v>
      </c>
      <c r="F8" s="268"/>
      <c r="G8" s="76" t="s">
        <v>293</v>
      </c>
      <c r="H8" s="81" t="s">
        <v>308</v>
      </c>
    </row>
    <row r="9" spans="1:8" x14ac:dyDescent="0.25">
      <c r="A9" s="78" t="s">
        <v>221</v>
      </c>
      <c r="B9" s="241" t="s">
        <v>315</v>
      </c>
      <c r="C9" s="242"/>
      <c r="D9" s="243"/>
      <c r="E9" s="267">
        <v>40548187.579999998</v>
      </c>
      <c r="F9" s="268"/>
      <c r="G9" s="76" t="s">
        <v>293</v>
      </c>
      <c r="H9" s="81" t="s">
        <v>308</v>
      </c>
    </row>
    <row r="10" spans="1:8" ht="15" customHeight="1" x14ac:dyDescent="0.25">
      <c r="A10" s="78" t="s">
        <v>222</v>
      </c>
      <c r="B10" s="241" t="s">
        <v>234</v>
      </c>
      <c r="C10" s="242"/>
      <c r="D10" s="243"/>
      <c r="E10" s="267">
        <v>1289147.78</v>
      </c>
      <c r="F10" s="268"/>
      <c r="G10" s="76" t="s">
        <v>294</v>
      </c>
      <c r="H10" s="81" t="s">
        <v>308</v>
      </c>
    </row>
    <row r="11" spans="1:8" ht="15" customHeight="1" x14ac:dyDescent="0.25">
      <c r="A11" s="78" t="s">
        <v>223</v>
      </c>
      <c r="B11" s="241" t="s">
        <v>235</v>
      </c>
      <c r="C11" s="242"/>
      <c r="D11" s="243"/>
      <c r="E11" s="267">
        <v>20403699.170000002</v>
      </c>
      <c r="F11" s="268"/>
      <c r="G11" s="76" t="s">
        <v>295</v>
      </c>
      <c r="H11" s="81" t="s">
        <v>308</v>
      </c>
    </row>
    <row r="12" spans="1:8" ht="15" customHeight="1" x14ac:dyDescent="0.25">
      <c r="A12" s="86" t="s">
        <v>319</v>
      </c>
      <c r="B12" s="241" t="s">
        <v>239</v>
      </c>
      <c r="C12" s="242"/>
      <c r="D12" s="243"/>
      <c r="E12" s="267">
        <v>10790051.93</v>
      </c>
      <c r="F12" s="268"/>
      <c r="G12" s="76" t="s">
        <v>296</v>
      </c>
      <c r="H12" s="81" t="s">
        <v>309</v>
      </c>
    </row>
    <row r="13" spans="1:8" ht="15" customHeight="1" x14ac:dyDescent="0.25">
      <c r="A13" s="86" t="s">
        <v>320</v>
      </c>
      <c r="B13" s="241" t="s">
        <v>240</v>
      </c>
      <c r="C13" s="242"/>
      <c r="D13" s="243"/>
      <c r="E13" s="267">
        <v>441360.39</v>
      </c>
      <c r="F13" s="268"/>
      <c r="G13" s="76" t="s">
        <v>297</v>
      </c>
      <c r="H13" s="81" t="s">
        <v>309</v>
      </c>
    </row>
    <row r="14" spans="1:8" ht="15" customHeight="1" x14ac:dyDescent="0.25">
      <c r="A14" s="86" t="s">
        <v>321</v>
      </c>
      <c r="B14" s="241" t="s">
        <v>241</v>
      </c>
      <c r="C14" s="242"/>
      <c r="D14" s="243"/>
      <c r="E14" s="267">
        <v>6958879.96</v>
      </c>
      <c r="F14" s="268"/>
      <c r="G14" s="76" t="s">
        <v>298</v>
      </c>
      <c r="H14" s="81" t="s">
        <v>310</v>
      </c>
    </row>
    <row r="15" spans="1:8" ht="15" customHeight="1" x14ac:dyDescent="0.25">
      <c r="A15" s="86" t="s">
        <v>322</v>
      </c>
      <c r="B15" s="241" t="s">
        <v>242</v>
      </c>
      <c r="C15" s="242"/>
      <c r="D15" s="243"/>
      <c r="E15" s="218">
        <v>37077006.240000002</v>
      </c>
      <c r="F15" s="219"/>
      <c r="G15" s="76" t="s">
        <v>299</v>
      </c>
      <c r="H15" s="81" t="s">
        <v>310</v>
      </c>
    </row>
    <row r="16" spans="1:8" ht="72" customHeight="1" x14ac:dyDescent="0.25">
      <c r="A16" s="86" t="s">
        <v>258</v>
      </c>
      <c r="B16" s="241" t="s">
        <v>243</v>
      </c>
      <c r="C16" s="242"/>
      <c r="D16" s="243"/>
      <c r="E16" s="267">
        <v>2206300.7000000002</v>
      </c>
      <c r="F16" s="268"/>
      <c r="G16" s="82" t="s">
        <v>300</v>
      </c>
      <c r="H16" s="83" t="s">
        <v>309</v>
      </c>
    </row>
    <row r="17" spans="1:8" ht="15" customHeight="1" x14ac:dyDescent="0.25">
      <c r="A17" s="86" t="s">
        <v>259</v>
      </c>
      <c r="B17" s="241" t="s">
        <v>244</v>
      </c>
      <c r="C17" s="242"/>
      <c r="D17" s="243"/>
      <c r="E17" s="267">
        <v>620724.16</v>
      </c>
      <c r="F17" s="268"/>
      <c r="G17" s="76" t="s">
        <v>302</v>
      </c>
      <c r="H17" s="81" t="s">
        <v>311</v>
      </c>
    </row>
    <row r="18" spans="1:8" ht="15" customHeight="1" x14ac:dyDescent="0.25">
      <c r="A18" s="86" t="s">
        <v>260</v>
      </c>
      <c r="B18" s="241" t="s">
        <v>245</v>
      </c>
      <c r="C18" s="242"/>
      <c r="D18" s="243"/>
      <c r="E18" s="267">
        <v>1551809.7</v>
      </c>
      <c r="F18" s="268"/>
      <c r="G18" s="76" t="s">
        <v>301</v>
      </c>
      <c r="H18" s="81" t="s">
        <v>311</v>
      </c>
    </row>
    <row r="19" spans="1:8" ht="30" customHeight="1" x14ac:dyDescent="0.25">
      <c r="A19" s="86" t="s">
        <v>261</v>
      </c>
      <c r="B19" s="241" t="s">
        <v>324</v>
      </c>
      <c r="C19" s="242"/>
      <c r="D19" s="243"/>
      <c r="E19" s="267">
        <v>59839.95</v>
      </c>
      <c r="F19" s="268"/>
      <c r="G19" s="76" t="s">
        <v>303</v>
      </c>
      <c r="H19" s="81" t="s">
        <v>309</v>
      </c>
    </row>
    <row r="20" spans="1:8" s="84" customFormat="1" ht="27" customHeight="1" x14ac:dyDescent="0.25">
      <c r="A20" s="86" t="s">
        <v>262</v>
      </c>
      <c r="B20" s="241" t="s">
        <v>246</v>
      </c>
      <c r="C20" s="242"/>
      <c r="D20" s="243"/>
      <c r="E20" s="267">
        <v>59839.95</v>
      </c>
      <c r="F20" s="268"/>
      <c r="G20" s="85" t="s">
        <v>303</v>
      </c>
      <c r="H20" s="87"/>
    </row>
    <row r="21" spans="1:8" ht="15" customHeight="1" x14ac:dyDescent="0.25">
      <c r="A21" s="86" t="s">
        <v>263</v>
      </c>
      <c r="B21" s="241" t="s">
        <v>236</v>
      </c>
      <c r="C21" s="242"/>
      <c r="D21" s="243"/>
      <c r="E21" s="267">
        <v>7608264.7000000002</v>
      </c>
      <c r="F21" s="268"/>
      <c r="G21" s="76" t="s">
        <v>304</v>
      </c>
      <c r="H21" s="81" t="s">
        <v>308</v>
      </c>
    </row>
    <row r="22" spans="1:8" ht="15" customHeight="1" x14ac:dyDescent="0.25">
      <c r="A22" s="86" t="s">
        <v>264</v>
      </c>
      <c r="B22" s="241" t="s">
        <v>237</v>
      </c>
      <c r="C22" s="242"/>
      <c r="D22" s="243"/>
      <c r="E22" s="267">
        <v>511748.97</v>
      </c>
      <c r="F22" s="268"/>
      <c r="G22" s="76" t="s">
        <v>305</v>
      </c>
      <c r="H22" s="81" t="s">
        <v>308</v>
      </c>
    </row>
    <row r="23" spans="1:8" ht="15" customHeight="1" x14ac:dyDescent="0.25">
      <c r="A23" s="86" t="s">
        <v>323</v>
      </c>
      <c r="B23" s="241" t="s">
        <v>238</v>
      </c>
      <c r="C23" s="242"/>
      <c r="D23" s="243"/>
      <c r="E23" s="267">
        <v>262004.19</v>
      </c>
      <c r="F23" s="268"/>
      <c r="G23" s="76" t="s">
        <v>306</v>
      </c>
      <c r="H23" s="81" t="s">
        <v>308</v>
      </c>
    </row>
    <row r="24" spans="1:8" ht="15" customHeight="1" x14ac:dyDescent="0.25">
      <c r="A24" s="86" t="s">
        <v>265</v>
      </c>
      <c r="B24" s="241" t="s">
        <v>247</v>
      </c>
      <c r="C24" s="242"/>
      <c r="D24" s="243"/>
      <c r="E24" s="267">
        <v>7809697.8099999996</v>
      </c>
      <c r="F24" s="268"/>
      <c r="G24" s="76" t="s">
        <v>307</v>
      </c>
      <c r="H24" s="81" t="s">
        <v>311</v>
      </c>
    </row>
    <row r="25" spans="1:8" ht="15" customHeight="1" x14ac:dyDescent="0.25">
      <c r="A25" s="86" t="s">
        <v>266</v>
      </c>
      <c r="B25" s="241" t="s">
        <v>248</v>
      </c>
      <c r="C25" s="242"/>
      <c r="D25" s="243"/>
      <c r="E25" s="218">
        <v>795844.14</v>
      </c>
      <c r="F25" s="219"/>
      <c r="G25" s="76" t="s">
        <v>295</v>
      </c>
      <c r="H25" s="81" t="s">
        <v>310</v>
      </c>
    </row>
    <row r="26" spans="1:8" ht="30" customHeight="1" x14ac:dyDescent="0.25">
      <c r="A26" s="76" t="s">
        <v>228</v>
      </c>
      <c r="B26" s="260" t="s">
        <v>249</v>
      </c>
      <c r="C26" s="261"/>
      <c r="D26" s="262"/>
      <c r="E26" s="269"/>
      <c r="F26" s="270"/>
    </row>
    <row r="27" spans="1:8" ht="15" customHeight="1" x14ac:dyDescent="0.25">
      <c r="A27" s="80" t="s">
        <v>229</v>
      </c>
      <c r="B27" s="241" t="s">
        <v>250</v>
      </c>
      <c r="C27" s="242"/>
      <c r="D27" s="243"/>
      <c r="E27" s="267">
        <v>13098020.810000001</v>
      </c>
      <c r="F27" s="268"/>
      <c r="G27" s="76" t="s">
        <v>296</v>
      </c>
      <c r="H27" s="81" t="s">
        <v>312</v>
      </c>
    </row>
    <row r="28" spans="1:8" x14ac:dyDescent="0.25">
      <c r="A28" s="76" t="s">
        <v>158</v>
      </c>
      <c r="B28" s="260" t="s">
        <v>251</v>
      </c>
      <c r="C28" s="261"/>
      <c r="D28" s="262"/>
      <c r="E28" s="269"/>
      <c r="F28" s="270"/>
    </row>
    <row r="29" spans="1:8" ht="15" customHeight="1" x14ac:dyDescent="0.25">
      <c r="A29" s="80" t="s">
        <v>159</v>
      </c>
      <c r="B29" s="241" t="s">
        <v>252</v>
      </c>
      <c r="C29" s="242"/>
      <c r="D29" s="243"/>
      <c r="E29" s="267">
        <v>203189.28000000003</v>
      </c>
      <c r="F29" s="268"/>
      <c r="G29" s="76" t="s">
        <v>296</v>
      </c>
      <c r="H29" s="81" t="s">
        <v>311</v>
      </c>
    </row>
    <row r="30" spans="1:8" ht="15" customHeight="1" x14ac:dyDescent="0.25">
      <c r="A30" s="80" t="s">
        <v>160</v>
      </c>
      <c r="B30" s="241" t="s">
        <v>253</v>
      </c>
      <c r="C30" s="242"/>
      <c r="D30" s="243"/>
      <c r="E30" s="267">
        <v>203189.28000000003</v>
      </c>
      <c r="F30" s="268"/>
      <c r="G30" s="76" t="s">
        <v>296</v>
      </c>
      <c r="H30" s="81" t="s">
        <v>311</v>
      </c>
    </row>
    <row r="31" spans="1:8" ht="15" customHeight="1" x14ac:dyDescent="0.25">
      <c r="A31" s="80" t="s">
        <v>161</v>
      </c>
      <c r="B31" s="241" t="s">
        <v>254</v>
      </c>
      <c r="C31" s="242"/>
      <c r="D31" s="243"/>
      <c r="E31" s="267">
        <v>1639020.83</v>
      </c>
      <c r="F31" s="268"/>
      <c r="G31" s="76" t="s">
        <v>303</v>
      </c>
      <c r="H31" s="81" t="s">
        <v>311</v>
      </c>
    </row>
    <row r="32" spans="1:8" ht="15" customHeight="1" x14ac:dyDescent="0.25">
      <c r="A32" s="80" t="s">
        <v>162</v>
      </c>
      <c r="B32" s="241" t="s">
        <v>255</v>
      </c>
      <c r="C32" s="242"/>
      <c r="D32" s="243"/>
      <c r="E32" s="267">
        <v>1639020.83</v>
      </c>
      <c r="F32" s="268"/>
      <c r="G32" s="76" t="s">
        <v>303</v>
      </c>
      <c r="H32" s="81" t="s">
        <v>311</v>
      </c>
    </row>
    <row r="33" spans="1:8" ht="15" customHeight="1" x14ac:dyDescent="0.25">
      <c r="A33" s="80" t="s">
        <v>163</v>
      </c>
      <c r="B33" s="241" t="s">
        <v>256</v>
      </c>
      <c r="C33" s="242"/>
      <c r="D33" s="243"/>
      <c r="E33" s="267">
        <v>7155476.0199999996</v>
      </c>
      <c r="F33" s="268"/>
      <c r="G33" s="76" t="s">
        <v>303</v>
      </c>
      <c r="H33" s="81" t="s">
        <v>313</v>
      </c>
    </row>
    <row r="34" spans="1:8" ht="15" customHeight="1" x14ac:dyDescent="0.25">
      <c r="A34" s="80" t="s">
        <v>164</v>
      </c>
      <c r="B34" s="241" t="s">
        <v>257</v>
      </c>
      <c r="C34" s="242"/>
      <c r="D34" s="243"/>
      <c r="E34" s="267">
        <v>3170256.12</v>
      </c>
      <c r="F34" s="268"/>
      <c r="G34" s="76" t="s">
        <v>303</v>
      </c>
      <c r="H34" s="81" t="s">
        <v>313</v>
      </c>
    </row>
    <row r="35" spans="1:8" ht="26.25" customHeight="1" x14ac:dyDescent="0.25">
      <c r="A35" s="66"/>
      <c r="B35" s="66"/>
      <c r="C35" s="265" t="s">
        <v>28</v>
      </c>
      <c r="D35" s="266"/>
      <c r="E35" s="271">
        <v>168051995.80000001</v>
      </c>
      <c r="F35" s="271"/>
    </row>
    <row r="36" spans="1:8" ht="15" customHeight="1" x14ac:dyDescent="0.25">
      <c r="A36" s="246" t="s">
        <v>230</v>
      </c>
      <c r="B36" s="246"/>
      <c r="C36" s="246"/>
      <c r="D36" s="246"/>
      <c r="E36" s="247">
        <v>28008665.969999999</v>
      </c>
      <c r="F36" s="247"/>
    </row>
    <row r="37" spans="1:8" ht="0.75" customHeight="1" x14ac:dyDescent="0.25">
      <c r="A37" s="246"/>
      <c r="B37" s="246"/>
      <c r="C37" s="246"/>
      <c r="D37" s="246"/>
      <c r="E37" s="248"/>
      <c r="F37" s="248"/>
    </row>
    <row r="38" spans="1:8" ht="31.5" customHeight="1" x14ac:dyDescent="0.25">
      <c r="A38" s="254" t="s">
        <v>224</v>
      </c>
      <c r="B38" s="255"/>
      <c r="C38" s="255"/>
      <c r="D38" s="255"/>
    </row>
    <row r="39" spans="1:8" ht="26.25" customHeight="1" x14ac:dyDescent="0.25">
      <c r="B39" s="76" t="s">
        <v>32</v>
      </c>
      <c r="C39" s="76" t="s">
        <v>267</v>
      </c>
    </row>
    <row r="40" spans="1:8" x14ac:dyDescent="0.25">
      <c r="B40" s="76" t="s">
        <v>268</v>
      </c>
      <c r="C40" s="76"/>
    </row>
    <row r="41" spans="1:8" x14ac:dyDescent="0.25">
      <c r="B41" s="75" t="s">
        <v>34</v>
      </c>
      <c r="C41" s="75" t="s">
        <v>269</v>
      </c>
    </row>
    <row r="42" spans="1:8" x14ac:dyDescent="0.25">
      <c r="B42" s="75" t="s">
        <v>35</v>
      </c>
      <c r="C42" s="75" t="s">
        <v>270</v>
      </c>
    </row>
    <row r="43" spans="1:8" x14ac:dyDescent="0.25">
      <c r="B43" s="75" t="s">
        <v>271</v>
      </c>
      <c r="C43" s="75" t="s">
        <v>272</v>
      </c>
    </row>
    <row r="44" spans="1:8" x14ac:dyDescent="0.25">
      <c r="B44" s="76" t="s">
        <v>273</v>
      </c>
      <c r="C44" s="75"/>
    </row>
    <row r="45" spans="1:8" x14ac:dyDescent="0.25">
      <c r="B45" s="75" t="s">
        <v>34</v>
      </c>
      <c r="C45" s="75" t="s">
        <v>274</v>
      </c>
    </row>
    <row r="46" spans="1:8" x14ac:dyDescent="0.25">
      <c r="B46" s="75" t="s">
        <v>35</v>
      </c>
      <c r="C46" s="75" t="s">
        <v>275</v>
      </c>
    </row>
    <row r="47" spans="1:8" x14ac:dyDescent="0.25">
      <c r="B47" s="75" t="s">
        <v>271</v>
      </c>
      <c r="C47" s="75" t="s">
        <v>276</v>
      </c>
    </row>
    <row r="48" spans="1:8" x14ac:dyDescent="0.25">
      <c r="B48" s="76" t="s">
        <v>277</v>
      </c>
      <c r="C48" s="75"/>
    </row>
    <row r="49" spans="1:6" x14ac:dyDescent="0.25">
      <c r="B49" s="75" t="s">
        <v>34</v>
      </c>
      <c r="C49" s="75" t="s">
        <v>278</v>
      </c>
    </row>
    <row r="50" spans="1:6" x14ac:dyDescent="0.25">
      <c r="B50" s="75" t="s">
        <v>35</v>
      </c>
      <c r="C50" s="75" t="s">
        <v>279</v>
      </c>
    </row>
    <row r="51" spans="1:6" x14ac:dyDescent="0.25">
      <c r="B51" s="75" t="s">
        <v>271</v>
      </c>
      <c r="C51" s="75" t="s">
        <v>280</v>
      </c>
    </row>
    <row r="52" spans="1:6" x14ac:dyDescent="0.25">
      <c r="B52" s="75" t="s">
        <v>281</v>
      </c>
      <c r="C52" s="75" t="s">
        <v>282</v>
      </c>
    </row>
    <row r="53" spans="1:6" x14ac:dyDescent="0.25">
      <c r="B53" s="76" t="s">
        <v>283</v>
      </c>
      <c r="C53" s="75"/>
    </row>
    <row r="54" spans="1:6" x14ac:dyDescent="0.25">
      <c r="B54" s="75" t="s">
        <v>34</v>
      </c>
      <c r="C54" s="75" t="s">
        <v>284</v>
      </c>
    </row>
    <row r="55" spans="1:6" x14ac:dyDescent="0.25">
      <c r="B55" s="75" t="s">
        <v>35</v>
      </c>
      <c r="C55" s="75" t="s">
        <v>285</v>
      </c>
    </row>
    <row r="56" spans="1:6" x14ac:dyDescent="0.25">
      <c r="B56" s="75" t="s">
        <v>271</v>
      </c>
      <c r="C56" s="75" t="s">
        <v>286</v>
      </c>
    </row>
    <row r="57" spans="1:6" x14ac:dyDescent="0.25">
      <c r="B57" s="75" t="s">
        <v>281</v>
      </c>
      <c r="C57" s="75" t="s">
        <v>287</v>
      </c>
    </row>
    <row r="58" spans="1:6" x14ac:dyDescent="0.25">
      <c r="B58" s="76" t="s">
        <v>288</v>
      </c>
      <c r="C58" s="75"/>
    </row>
    <row r="59" spans="1:6" x14ac:dyDescent="0.25">
      <c r="B59" s="75" t="s">
        <v>34</v>
      </c>
      <c r="C59" s="75" t="s">
        <v>289</v>
      </c>
    </row>
    <row r="60" spans="1:6" x14ac:dyDescent="0.25">
      <c r="B60" s="75" t="s">
        <v>35</v>
      </c>
      <c r="C60" s="75" t="s">
        <v>290</v>
      </c>
    </row>
    <row r="61" spans="1:6" x14ac:dyDescent="0.25">
      <c r="B61" s="75" t="s">
        <v>271</v>
      </c>
      <c r="C61" s="75" t="s">
        <v>291</v>
      </c>
    </row>
    <row r="62" spans="1:6" x14ac:dyDescent="0.25">
      <c r="B62" s="75" t="s">
        <v>281</v>
      </c>
      <c r="C62" s="75" t="s">
        <v>292</v>
      </c>
    </row>
    <row r="63" spans="1:6" ht="11.25" customHeight="1" x14ac:dyDescent="0.25">
      <c r="A63" s="244" t="s">
        <v>218</v>
      </c>
      <c r="B63" s="244"/>
      <c r="C63" s="244"/>
      <c r="D63" s="244" t="s">
        <v>218</v>
      </c>
      <c r="E63" s="244"/>
      <c r="F63" s="244"/>
    </row>
    <row r="64" spans="1:6" ht="11.25" customHeight="1" x14ac:dyDescent="0.25"/>
    <row r="65" spans="1:6" ht="42.75" customHeight="1" x14ac:dyDescent="0.25">
      <c r="A65" s="244" t="s">
        <v>316</v>
      </c>
      <c r="B65" s="244"/>
      <c r="C65" s="245"/>
      <c r="D65" s="244" t="s">
        <v>317</v>
      </c>
      <c r="E65" s="244"/>
      <c r="F65" s="244"/>
    </row>
    <row r="66" spans="1:6" x14ac:dyDescent="0.25">
      <c r="A66" s="77"/>
      <c r="E66" s="73"/>
    </row>
    <row r="67" spans="1:6" x14ac:dyDescent="0.25">
      <c r="A67" s="250" t="s">
        <v>325</v>
      </c>
      <c r="B67" s="250"/>
      <c r="C67" s="250"/>
      <c r="D67" s="244" t="s">
        <v>318</v>
      </c>
      <c r="E67" s="244"/>
      <c r="F67" s="244"/>
    </row>
    <row r="68" spans="1:6" x14ac:dyDescent="0.25">
      <c r="A68" s="67"/>
    </row>
    <row r="69" spans="1:6" x14ac:dyDescent="0.25">
      <c r="A69" s="67"/>
      <c r="E69" s="73"/>
    </row>
    <row r="70" spans="1:6" x14ac:dyDescent="0.25">
      <c r="A70" s="67"/>
      <c r="E70" s="73"/>
    </row>
    <row r="71" spans="1:6" x14ac:dyDescent="0.25">
      <c r="A71" s="67"/>
      <c r="E71" s="73"/>
    </row>
    <row r="72" spans="1:6" ht="11.25" customHeight="1" x14ac:dyDescent="0.25"/>
    <row r="73" spans="1:6" ht="18" hidden="1" customHeight="1" x14ac:dyDescent="0.25">
      <c r="A73" s="251"/>
      <c r="B73" s="251"/>
      <c r="C73" s="251"/>
      <c r="D73" s="251"/>
      <c r="E73" s="251"/>
      <c r="F73" s="251"/>
    </row>
    <row r="74" spans="1:6" hidden="1" x14ac:dyDescent="0.25">
      <c r="A74" s="68"/>
      <c r="B74" s="68"/>
      <c r="C74" s="68"/>
      <c r="D74" s="252"/>
      <c r="E74" s="252"/>
      <c r="F74" s="68"/>
    </row>
    <row r="75" spans="1:6" hidden="1" x14ac:dyDescent="0.25">
      <c r="B75" s="69"/>
    </row>
    <row r="76" spans="1:6" hidden="1" x14ac:dyDescent="0.25">
      <c r="B76" s="69"/>
      <c r="D76" s="253"/>
      <c r="E76" s="253"/>
      <c r="F76" s="253"/>
    </row>
    <row r="77" spans="1:6" hidden="1" x14ac:dyDescent="0.25">
      <c r="B77" s="69"/>
    </row>
    <row r="78" spans="1:6" hidden="1" x14ac:dyDescent="0.25">
      <c r="B78" s="69"/>
    </row>
    <row r="79" spans="1:6" ht="15" hidden="1" customHeight="1" x14ac:dyDescent="0.25">
      <c r="B79" s="69"/>
      <c r="D79" s="74"/>
      <c r="E79" s="244"/>
      <c r="F79" s="244"/>
    </row>
    <row r="80" spans="1:6" ht="24.75" hidden="1" customHeight="1" x14ac:dyDescent="0.25">
      <c r="A80" s="68"/>
      <c r="B80" s="70"/>
      <c r="C80" s="71"/>
      <c r="D80" s="72"/>
      <c r="E80" s="244"/>
      <c r="F80" s="244"/>
    </row>
    <row r="83" spans="4:6" x14ac:dyDescent="0.25">
      <c r="D83" s="74"/>
      <c r="E83" s="249"/>
      <c r="F83" s="249"/>
    </row>
    <row r="120" ht="15" customHeight="1" x14ac:dyDescent="0.25"/>
  </sheetData>
  <mergeCells count="81">
    <mergeCell ref="E8:F8"/>
    <mergeCell ref="E17:F17"/>
    <mergeCell ref="E18:F18"/>
    <mergeCell ref="E20:F20"/>
    <mergeCell ref="E10:F10"/>
    <mergeCell ref="E11:F11"/>
    <mergeCell ref="E16:F16"/>
    <mergeCell ref="E13:F13"/>
    <mergeCell ref="E12:F12"/>
    <mergeCell ref="E14:F14"/>
    <mergeCell ref="E15:F15"/>
    <mergeCell ref="E9:F9"/>
    <mergeCell ref="E35:F35"/>
    <mergeCell ref="E30:F30"/>
    <mergeCell ref="E34:F34"/>
    <mergeCell ref="E31:F31"/>
    <mergeCell ref="E32:F32"/>
    <mergeCell ref="E33:F33"/>
    <mergeCell ref="E19:F19"/>
    <mergeCell ref="B30:D30"/>
    <mergeCell ref="B34:D34"/>
    <mergeCell ref="B31:D31"/>
    <mergeCell ref="B32:D32"/>
    <mergeCell ref="B33:D33"/>
    <mergeCell ref="E29:F29"/>
    <mergeCell ref="B20:D20"/>
    <mergeCell ref="E26:F26"/>
    <mergeCell ref="E28:F28"/>
    <mergeCell ref="E21:F21"/>
    <mergeCell ref="E22:F22"/>
    <mergeCell ref="E23:F23"/>
    <mergeCell ref="E24:F24"/>
    <mergeCell ref="E25:F25"/>
    <mergeCell ref="E27:F27"/>
    <mergeCell ref="C35:D35"/>
    <mergeCell ref="B17:D17"/>
    <mergeCell ref="B18:D18"/>
    <mergeCell ref="B13:D13"/>
    <mergeCell ref="B12:D12"/>
    <mergeCell ref="B16:D16"/>
    <mergeCell ref="B19:D19"/>
    <mergeCell ref="B29:D29"/>
    <mergeCell ref="B26:D26"/>
    <mergeCell ref="B27:D27"/>
    <mergeCell ref="B28:D28"/>
    <mergeCell ref="B21:D21"/>
    <mergeCell ref="B22:D22"/>
    <mergeCell ref="A2:F2"/>
    <mergeCell ref="A3:F3"/>
    <mergeCell ref="A4:F4"/>
    <mergeCell ref="B7:D7"/>
    <mergeCell ref="E7:F7"/>
    <mergeCell ref="A5:F5"/>
    <mergeCell ref="B6:D6"/>
    <mergeCell ref="E6:F6"/>
    <mergeCell ref="E83:F83"/>
    <mergeCell ref="A67:C67"/>
    <mergeCell ref="D67:F67"/>
    <mergeCell ref="A73:F73"/>
    <mergeCell ref="D74:E74"/>
    <mergeCell ref="D76:F76"/>
    <mergeCell ref="E79:F79"/>
    <mergeCell ref="E80:F80"/>
    <mergeCell ref="D65:F65"/>
    <mergeCell ref="A65:C65"/>
    <mergeCell ref="A36:D36"/>
    <mergeCell ref="E36:F36"/>
    <mergeCell ref="A37:D37"/>
    <mergeCell ref="E37:F37"/>
    <mergeCell ref="A38:D38"/>
    <mergeCell ref="A63:C63"/>
    <mergeCell ref="D63:F63"/>
    <mergeCell ref="B23:D23"/>
    <mergeCell ref="B24:D24"/>
    <mergeCell ref="B25:D25"/>
    <mergeCell ref="B8:D8"/>
    <mergeCell ref="B9:D9"/>
    <mergeCell ref="B10:D10"/>
    <mergeCell ref="B11:D11"/>
    <mergeCell ref="B14:D14"/>
    <mergeCell ref="B15:D15"/>
  </mergeCells>
  <phoneticPr fontId="4" type="noConversion"/>
  <printOptions horizontalCentered="1"/>
  <pageMargins left="0.25" right="0.25" top="0.75" bottom="0.75" header="0.3" footer="0.3"/>
  <pageSetup paperSize="9" scale="84" fitToHeight="100" orientation="portrait" r:id="rId1"/>
  <headerFooter alignWithMargins="0"/>
  <rowBreaks count="1" manualBreakCount="1">
    <brk id="3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Лист1</vt:lpstr>
      <vt:lpstr>Корректировка (20.07.15) (наш)</vt:lpstr>
      <vt:lpstr>Корректировка (21.07.15) (наш)</vt:lpstr>
      <vt:lpstr>Корректировка (21.07.15) (с эл.</vt:lpstr>
      <vt:lpstr>Корректировка (28.07.15)</vt:lpstr>
      <vt:lpstr>1 вариант (раскрытый)</vt:lpstr>
      <vt:lpstr>'1 вариант (раскрытый)'!Область_печати</vt:lpstr>
      <vt:lpstr>'Корректировка (20.07.15) (наш)'!Область_печати</vt:lpstr>
      <vt:lpstr>'Корректировка (21.07.15) (наш)'!Область_печати</vt:lpstr>
      <vt:lpstr>'Корректировка (21.07.15) (с эл.'!Область_печати</vt:lpstr>
      <vt:lpstr>'Корректировка (28.07.15)'!Область_печати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1211</dc:creator>
  <cp:lastModifiedBy>Serebrennikova Alena</cp:lastModifiedBy>
  <cp:lastPrinted>2020-06-22T08:30:06Z</cp:lastPrinted>
  <dcterms:created xsi:type="dcterms:W3CDTF">2014-09-18T00:58:13Z</dcterms:created>
  <dcterms:modified xsi:type="dcterms:W3CDTF">2020-06-22T14:23:13Z</dcterms:modified>
</cp:coreProperties>
</file>