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41-ОРУ\@ЗАКУПКИ\0. 2020\1. ГЕНПОДРЯДЫ\Г0001_ФГУП ЦКБ Геофизика\35_2-1331. Строительно-монтажные работы. АГАТ ЕП\На сайт\Договор\"/>
    </mc:Choice>
  </mc:AlternateContent>
  <bookViews>
    <workbookView xWindow="0" yWindow="0" windowWidth="28800" windowHeight="12435" tabRatio="897" firstSheet="5" activeTab="5"/>
  </bookViews>
  <sheets>
    <sheet name="Лист1" sheetId="1" r:id="rId1"/>
    <sheet name="Корректировка (20.07.15) (наш)" sheetId="6" state="hidden" r:id="rId2"/>
    <sheet name="Корректировка (21.07.15) (наш)" sheetId="7" state="hidden" r:id="rId3"/>
    <sheet name="Корректировка (21.07.15) (с эл." sheetId="8" state="hidden" r:id="rId4"/>
    <sheet name="Корректировка (28.07.15)" sheetId="10" state="hidden" r:id="rId5"/>
    <sheet name="РНЦ" sheetId="12" r:id="rId6"/>
  </sheets>
  <definedNames>
    <definedName name="_xlnm.Print_Area" localSheetId="1">'Корректировка (20.07.15) (наш)'!$A$1:$F$121</definedName>
    <definedName name="_xlnm.Print_Area" localSheetId="2">'Корректировка (21.07.15) (наш)'!$A$1:$F$121</definedName>
    <definedName name="_xlnm.Print_Area" localSheetId="3">'Корректировка (21.07.15) (с эл.'!$A$1:$F$121</definedName>
    <definedName name="_xlnm.Print_Area" localSheetId="4">'Корректировка (28.07.15)'!$A$1:$F$120</definedName>
    <definedName name="_xlnm.Print_Area" localSheetId="5">РНЦ!$A$1:$F$30</definedName>
  </definedNames>
  <calcPr calcId="152511"/>
</workbook>
</file>

<file path=xl/calcChain.xml><?xml version="1.0" encoding="utf-8"?>
<calcChain xmlns="http://schemas.openxmlformats.org/spreadsheetml/2006/main">
  <c r="E12" i="12" l="1"/>
  <c r="E14" i="12"/>
  <c r="E16" i="12"/>
  <c r="E19" i="12" l="1"/>
  <c r="G19" i="12" s="1"/>
  <c r="H87" i="10"/>
  <c r="E87" i="10" s="1"/>
  <c r="E66" i="10"/>
  <c r="E68" i="10"/>
  <c r="E69" i="10"/>
  <c r="E70" i="10"/>
  <c r="E71" i="10"/>
  <c r="E73" i="10"/>
  <c r="E75" i="10"/>
  <c r="E77" i="10"/>
  <c r="E78" i="10"/>
  <c r="E81" i="10"/>
  <c r="E82" i="10"/>
  <c r="E88" i="10"/>
  <c r="E89" i="10"/>
  <c r="H74" i="10"/>
  <c r="E74" i="10" s="1"/>
  <c r="H76" i="10"/>
  <c r="E76" i="10" s="1"/>
  <c r="H72" i="10"/>
  <c r="E72" i="10" s="1"/>
  <c r="H64" i="10"/>
  <c r="E64" i="10" s="1"/>
  <c r="H67" i="10"/>
  <c r="E67" i="10" s="1"/>
  <c r="H63" i="10"/>
  <c r="H80" i="10"/>
  <c r="E80" i="10" s="1"/>
  <c r="H65" i="10"/>
  <c r="E65" i="10" s="1"/>
  <c r="H85" i="10"/>
  <c r="E85" i="10" s="1"/>
  <c r="H84" i="10"/>
  <c r="E84" i="10" s="1"/>
  <c r="H91" i="10"/>
  <c r="E91" i="10" s="1"/>
  <c r="G92" i="10"/>
  <c r="E58" i="10"/>
  <c r="E53" i="10"/>
  <c r="H51" i="10"/>
  <c r="E49" i="10"/>
  <c r="E44" i="10"/>
  <c r="E42" i="10"/>
  <c r="E41" i="10"/>
  <c r="E40" i="10"/>
  <c r="E39" i="10"/>
  <c r="E38" i="10"/>
  <c r="E37" i="10"/>
  <c r="E36" i="10"/>
  <c r="E35" i="10"/>
  <c r="E34" i="10"/>
  <c r="E33" i="10"/>
  <c r="E31" i="10"/>
  <c r="E30" i="10"/>
  <c r="E29" i="10"/>
  <c r="E28" i="10"/>
  <c r="E27" i="10"/>
  <c r="E26" i="10"/>
  <c r="E19" i="10"/>
  <c r="E16" i="10"/>
  <c r="E20" i="12" l="1"/>
  <c r="E59" i="10"/>
  <c r="E47" i="10"/>
  <c r="H49" i="10" s="1"/>
  <c r="E92" i="10"/>
  <c r="G93" i="10" s="1"/>
  <c r="E74" i="8"/>
  <c r="G93" i="8"/>
  <c r="E92" i="8"/>
  <c r="E88" i="8"/>
  <c r="E86" i="8"/>
  <c r="E81" i="8"/>
  <c r="E77" i="8"/>
  <c r="E75" i="8"/>
  <c r="E73" i="8"/>
  <c r="E68" i="8"/>
  <c r="E66" i="8"/>
  <c r="E65" i="8"/>
  <c r="E63" i="8"/>
  <c r="E58" i="8"/>
  <c r="E53" i="8"/>
  <c r="H51" i="8"/>
  <c r="E49" i="8"/>
  <c r="E44" i="8"/>
  <c r="E42" i="8"/>
  <c r="E41" i="8"/>
  <c r="E40" i="8"/>
  <c r="E39" i="8"/>
  <c r="E38" i="8"/>
  <c r="E37" i="8"/>
  <c r="E36" i="8"/>
  <c r="E35" i="8"/>
  <c r="E34" i="8"/>
  <c r="E33" i="8"/>
  <c r="E31" i="8"/>
  <c r="E30" i="8"/>
  <c r="E29" i="8"/>
  <c r="E28" i="8"/>
  <c r="E27" i="8"/>
  <c r="E26" i="8"/>
  <c r="E19" i="8"/>
  <c r="E16" i="8"/>
  <c r="E88" i="7"/>
  <c r="G93" i="7"/>
  <c r="E92" i="7"/>
  <c r="E86" i="7"/>
  <c r="E81" i="7"/>
  <c r="E77" i="7"/>
  <c r="E75" i="7"/>
  <c r="E73" i="7"/>
  <c r="E68" i="7"/>
  <c r="E66" i="7"/>
  <c r="E65" i="7"/>
  <c r="E63" i="7"/>
  <c r="E58" i="7"/>
  <c r="E53" i="7"/>
  <c r="H51" i="7"/>
  <c r="E49" i="7"/>
  <c r="E44" i="7"/>
  <c r="E42" i="7"/>
  <c r="E41" i="7"/>
  <c r="E40" i="7"/>
  <c r="E39" i="7"/>
  <c r="E38" i="7"/>
  <c r="E37" i="7"/>
  <c r="E36" i="7"/>
  <c r="E35" i="7"/>
  <c r="E34" i="7"/>
  <c r="E33" i="7"/>
  <c r="E31" i="7"/>
  <c r="E30" i="7"/>
  <c r="E29" i="7"/>
  <c r="E28" i="7"/>
  <c r="E27" i="7"/>
  <c r="E26" i="7"/>
  <c r="E19" i="7"/>
  <c r="E16" i="7"/>
  <c r="E59" i="8" l="1"/>
  <c r="E47" i="7"/>
  <c r="H49" i="7" s="1"/>
  <c r="E59" i="7"/>
  <c r="E47" i="8"/>
  <c r="E93" i="8"/>
  <c r="E60" i="10"/>
  <c r="E94" i="10" s="1"/>
  <c r="E96" i="10" s="1"/>
  <c r="E97" i="10" s="1"/>
  <c r="H59" i="10"/>
  <c r="E93" i="7"/>
  <c r="E88" i="6"/>
  <c r="E60" i="7" l="1"/>
  <c r="E95" i="7" s="1"/>
  <c r="E97" i="7" s="1"/>
  <c r="E98" i="7" s="1"/>
  <c r="H59" i="7"/>
  <c r="E60" i="8"/>
  <c r="E95" i="8" s="1"/>
  <c r="E97" i="8" s="1"/>
  <c r="E98" i="8" s="1"/>
  <c r="H59" i="8"/>
  <c r="H49" i="8"/>
  <c r="E92" i="6"/>
  <c r="E86" i="6"/>
  <c r="E73" i="6"/>
  <c r="E81" i="6" l="1"/>
  <c r="E75" i="6"/>
  <c r="E77" i="6"/>
  <c r="E65" i="6"/>
  <c r="E68" i="6"/>
  <c r="E63" i="6"/>
  <c r="E66" i="6"/>
  <c r="G93" i="6" l="1"/>
  <c r="E93" i="6"/>
  <c r="E58" i="6"/>
  <c r="E53" i="6"/>
  <c r="H51" i="6"/>
  <c r="E49" i="6"/>
  <c r="E44" i="6"/>
  <c r="E42" i="6"/>
  <c r="E41" i="6"/>
  <c r="E40" i="6"/>
  <c r="E39" i="6"/>
  <c r="E38" i="6"/>
  <c r="E37" i="6"/>
  <c r="E36" i="6"/>
  <c r="E35" i="6"/>
  <c r="E34" i="6"/>
  <c r="E33" i="6"/>
  <c r="E31" i="6"/>
  <c r="E30" i="6"/>
  <c r="E29" i="6"/>
  <c r="E28" i="6"/>
  <c r="E27" i="6"/>
  <c r="E26" i="6"/>
  <c r="E19" i="6"/>
  <c r="E16" i="6"/>
  <c r="E47" i="6" l="1"/>
  <c r="H49" i="6" s="1"/>
  <c r="E59" i="6"/>
  <c r="E20" i="1"/>
  <c r="E24" i="1"/>
  <c r="E25" i="1"/>
  <c r="E68" i="1"/>
  <c r="E85" i="1" s="1"/>
  <c r="E53" i="1"/>
  <c r="E97" i="1"/>
  <c r="E101" i="1"/>
  <c r="E105" i="1"/>
  <c r="E82" i="1"/>
  <c r="E60" i="6" l="1"/>
  <c r="E95" i="6" s="1"/>
  <c r="E97" i="6" s="1"/>
  <c r="E98" i="6" s="1"/>
  <c r="E84" i="1"/>
  <c r="H59" i="6"/>
  <c r="E83" i="1"/>
  <c r="E93" i="1" s="1"/>
  <c r="E107" i="1" s="1"/>
  <c r="E108" i="1" s="1"/>
</calcChain>
</file>

<file path=xl/sharedStrings.xml><?xml version="1.0" encoding="utf-8"?>
<sst xmlns="http://schemas.openxmlformats.org/spreadsheetml/2006/main" count="824" uniqueCount="243">
  <si>
    <t>Приложение № 2</t>
  </si>
  <si>
    <t>к Договору № 12/115 от 5 марта 2012 г.</t>
  </si>
  <si>
    <t>ПРОТОКОЛ</t>
  </si>
  <si>
    <t>соглашения о договорной цене</t>
  </si>
  <si>
    <t>на выполнение работ</t>
  </si>
  <si>
    <t>№ п/п</t>
  </si>
  <si>
    <t>Номера сметных расчетов (локальных и объектных смет)</t>
  </si>
  <si>
    <t>Наименование работ и затрат</t>
  </si>
  <si>
    <t>В текущих ценах с НДС 18% (тыс. руб.)</t>
  </si>
  <si>
    <t>Глава 2. Основные объекты строительства</t>
  </si>
  <si>
    <t>5.1</t>
  </si>
  <si>
    <t>5.2</t>
  </si>
  <si>
    <t>Строительно-монтажные работы</t>
  </si>
  <si>
    <t>Всего на 2013 г.:</t>
  </si>
  <si>
    <t>2014 год</t>
  </si>
  <si>
    <t>Всего на 2014 г.:</t>
  </si>
  <si>
    <t>2012 год</t>
  </si>
  <si>
    <t>Приобретение технологического оборудования</t>
  </si>
  <si>
    <t>Всего на 2012 г.:</t>
  </si>
  <si>
    <t>2013 год</t>
  </si>
  <si>
    <t>Итого:</t>
  </si>
  <si>
    <t>Строительно-монтажные работы, приобретение и монтаж технологического оборудования</t>
  </si>
  <si>
    <t>Страхование строительно-монтажных рисков по полису №1812-71CR5025 от 10.12.2012 г.</t>
  </si>
  <si>
    <t>2015 год</t>
  </si>
  <si>
    <t>Всего на 2015 г.:</t>
  </si>
  <si>
    <t>2016 год</t>
  </si>
  <si>
    <t>Всего на 2016 г.:</t>
  </si>
  <si>
    <t>Всего на 2017 г.:</t>
  </si>
  <si>
    <t>ИТОГО ТВЕРДАЯ ЦЕНА ДОГОВОРА СОСТАВЛЯЕТ:</t>
  </si>
  <si>
    <t>в т.ч. НДС 18%</t>
  </si>
  <si>
    <t>2017 год</t>
  </si>
  <si>
    <t>Инфляционный коэффициент, применяемый для определения стоимости Работ, определенный на этапе формирования договорной цены</t>
  </si>
  <si>
    <t>Год, статья затрат</t>
  </si>
  <si>
    <t>Индексы</t>
  </si>
  <si>
    <t>СМР</t>
  </si>
  <si>
    <t>Оборудование</t>
  </si>
  <si>
    <t>Прочие</t>
  </si>
  <si>
    <t>Подписи сторон:</t>
  </si>
  <si>
    <t>Генподрядчик:</t>
  </si>
  <si>
    <t>Заместитель начальника предприятия</t>
  </si>
  <si>
    <t>по обеспечению объектов строительства</t>
  </si>
  <si>
    <t>оборудованием и материалами - главный инженер</t>
  </si>
  <si>
    <t>ФГУП "Спецстройсервис"</t>
  </si>
  <si>
    <t>при Спецстрое России"</t>
  </si>
  <si>
    <t>А. А. Жуков</t>
  </si>
  <si>
    <t>__________________</t>
  </si>
  <si>
    <t>Заказчик:</t>
  </si>
  <si>
    <t>Генеральный директор</t>
  </si>
  <si>
    <t>ОАО "ЦКБ "Геофизика"</t>
  </si>
  <si>
    <t>А. С. Дегтерев</t>
  </si>
  <si>
    <t>Система пожаротушения</t>
  </si>
  <si>
    <t>Автоматизация пожаротушения</t>
  </si>
  <si>
    <t>Оборудование для рабочих мест регулировки и испытаний, в том числе:</t>
  </si>
  <si>
    <t>Корпус №3, в том числе:</t>
  </si>
  <si>
    <t>Глава 3. Комплекс складов</t>
  </si>
  <si>
    <t>Глава 4. Склад дизельного топлива</t>
  </si>
  <si>
    <t>Строительство сооружения гражданской обороны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</si>
  <si>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</si>
  <si>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</si>
  <si>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</si>
  <si>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</si>
  <si>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</si>
  <si>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</si>
  <si>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</si>
  <si>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</si>
  <si>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</si>
  <si>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</si>
  <si>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</si>
  <si>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</si>
  <si>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</si>
  <si>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</si>
  <si>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</si>
  <si>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</si>
  <si>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</si>
  <si>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</si>
  <si>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7.1</t>
  </si>
  <si>
    <t>7.2</t>
  </si>
  <si>
    <t>7.3</t>
  </si>
  <si>
    <t>8.1</t>
  </si>
  <si>
    <t>8.2</t>
  </si>
  <si>
    <t>8.3</t>
  </si>
  <si>
    <t>8.4</t>
  </si>
  <si>
    <t>10.1</t>
  </si>
  <si>
    <t>Изотропный измеритель электромагнитных полей П3-60 (1 шт.)</t>
  </si>
  <si>
    <t>Комплект измерительный К540 (1 шт.)</t>
  </si>
  <si>
    <t>Изделие "ПИКС" (1 шт.)</t>
  </si>
  <si>
    <t>Анализатор качества электроэнергии С.А.8335 (1 шт.)</t>
  </si>
  <si>
    <t>Генератор сигналов специальной формы Aglient 33250A (1 шт.)</t>
  </si>
  <si>
    <t>от "___" ____________ 2014 г.</t>
  </si>
  <si>
    <t>к Дополнительному соглашению № 5</t>
  </si>
  <si>
    <t>в том числе</t>
  </si>
  <si>
    <t>Приобретение оборудования (в.т.ч. Инженерное 54 090,000;                                         технологическое - 50 910,000)</t>
  </si>
  <si>
    <t>Приобретение оборудования за счет собственных средств заказчика</t>
  </si>
  <si>
    <t>по объекту "Опытного производства ОАО "ЦКБ "Геофизика", г. Красноярск</t>
  </si>
  <si>
    <t>Осциллограф цифровой запоминающий Le Croy WS64MXs-B (1 шт.)</t>
  </si>
  <si>
    <t>Измеритель параметров LCR GW Instek LCR-78101 G (1 шт.)</t>
  </si>
  <si>
    <t>Осциллограф цифровой запоминающий Le Croy WS44MXs-B (1 шт.)</t>
  </si>
  <si>
    <t>Строительные работы в осях А-Б, ряд 1-19, реконструкция кровли</t>
  </si>
  <si>
    <t>Электрическое освещение в осях А-Б, ряд 1-19</t>
  </si>
  <si>
    <t>Строительные работы в осях Н-П, ряд 1-19</t>
  </si>
  <si>
    <t>Строительные работы, реконструкция кровли</t>
  </si>
  <si>
    <t>Строительные работы в осях Д-И, ряд 1-19, реконструкция стенового ограждения</t>
  </si>
  <si>
    <t>Строительные работы в осях Д-И, ряд 1-19</t>
  </si>
  <si>
    <t>Строительные работы в осях И-К, ряд 1-19</t>
  </si>
  <si>
    <t>Строительные работы в осях К-Н, ряд 1-19, кирпичная кладка перегородок, устройство полов</t>
  </si>
  <si>
    <t>Строительные работы в осях П-Т, ряд 1-19, реконструкция стенового ограждения</t>
  </si>
  <si>
    <t>Строительные работы в осях П-Т, ряд 1-19</t>
  </si>
  <si>
    <t>Отопление и вентиляция в осях И5-Н1, ряд 1-19</t>
  </si>
  <si>
    <t>Отопление и вентиляция в осях Н1-Т, ряд 1-19</t>
  </si>
  <si>
    <t>Отопление и вентиляция в осях Д-И5, ряд 1-19</t>
  </si>
  <si>
    <t>Электрическое освещение в осях Н1-Т, ряд 1-19,
в осях К-Н, ряд 1-19,
в осях Д-И5, ряд 1-19</t>
  </si>
  <si>
    <t>Электрооборудование, прокладка кабелей и труб корпуса 2 в осях Н1-Т, ряд 1-19</t>
  </si>
  <si>
    <t>Внутренние сети водопровода и канализации в осях Н-Т, ряд 1-19,
в осях Д-К, ряд 1-19</t>
  </si>
  <si>
    <t>КИПИА, в осях Н-Т, ряд 1-19</t>
  </si>
  <si>
    <t>Корпус №1, в том числе:</t>
  </si>
  <si>
    <t>Корпус №2, в том числе:</t>
  </si>
  <si>
    <t>Строительные работы в осях А-Б, ряд 1-19, реконструкция покрытия</t>
  </si>
  <si>
    <t>Электроосвещение в осях А-Б, ряд 1-19</t>
  </si>
  <si>
    <t>Тепловой пункт</t>
  </si>
  <si>
    <t>8</t>
  </si>
  <si>
    <t>Средства измерений для рабочего места регулировки СУМ-30, в том числе:</t>
  </si>
  <si>
    <t>8.1.1</t>
  </si>
  <si>
    <t>8.1.2</t>
  </si>
  <si>
    <t>Средства измерений для рабочего места регулировки БУМ-8, в том числе:</t>
  </si>
  <si>
    <t>8.2.1</t>
  </si>
  <si>
    <t>8.2.2</t>
  </si>
  <si>
    <t>Средства измерений для рабочего места регулировки МПУ, в том числе:</t>
  </si>
  <si>
    <t>8.3.1</t>
  </si>
  <si>
    <t>8.3.2</t>
  </si>
  <si>
    <t>8.3.3</t>
  </si>
  <si>
    <t>8.3.4</t>
  </si>
  <si>
    <t>8.3.5</t>
  </si>
  <si>
    <t>Осциллограф-мультиметр цифровой Aglient U1604N (2 шт.)</t>
  </si>
  <si>
    <t>Анализатор спектра R&amp;S с опцией FSL-B30 FSL3 модель 03 (1 шт.)</t>
  </si>
  <si>
    <t>Строительные работы в осях А-Г, ряд 5-20, устройство фундаментов, монтаж каркаса, монтаж кровли, стенового ограждения</t>
  </si>
  <si>
    <t>Строительные работы, склад дизельного топлива</t>
  </si>
  <si>
    <t>Инженерное оборудование склада дизельного топлива</t>
  </si>
  <si>
    <t>Глава 5. Сооружения гражданской обороны</t>
  </si>
  <si>
    <t>Глава 6. Внутриплощадочные сети электроснабжения</t>
  </si>
  <si>
    <t>Устройство внутриплощадочных сетей электроснабжения</t>
  </si>
  <si>
    <t>Трансформаторная подстанция ТП 3021</t>
  </si>
  <si>
    <t>Устройство наружных сетей теплоснабжения</t>
  </si>
  <si>
    <t>Глава 8. Строительно-монтажные работы и приобретение технологического оборудования за собственные средства предприятия</t>
  </si>
  <si>
    <t>Приобретение НКУ</t>
  </si>
  <si>
    <t>Изыскательские работы, п.37</t>
  </si>
  <si>
    <t>Производство авторского надзора</t>
  </si>
  <si>
    <t>Разработка рабочей документации под программу 2015 г.</t>
  </si>
  <si>
    <t>Кабель АВВГ сеч 4х120</t>
  </si>
  <si>
    <t>Строительные работы в корпусе №2</t>
  </si>
  <si>
    <t>Глава 7. Наружные сети теплоснабжения</t>
  </si>
  <si>
    <t>ВСЕГО ЗА ФЕДЕРАЛЬНЫЕ ДЕНЬГИ:</t>
  </si>
  <si>
    <t xml:space="preserve"> Сооружения гражданской обороны</t>
  </si>
  <si>
    <t xml:space="preserve"> Внутриплощадочные сети электроснабжения</t>
  </si>
  <si>
    <t xml:space="preserve"> Наружные сети теплоснабжения</t>
  </si>
  <si>
    <t>от "___" ____________ 2015 г.</t>
  </si>
  <si>
    <t xml:space="preserve"> опытного производства ОАО «ЦКБ «Геофизика»</t>
  </si>
  <si>
    <t>на выполнение работ по «Реконструкции и техническому перевооружению</t>
  </si>
  <si>
    <t>к Дополнительному соглашению № 1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</si>
  <si>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</si>
  <si>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</si>
  <si>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</si>
  <si>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</si>
  <si>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</si>
  <si>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</si>
  <si>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</si>
  <si>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</si>
  <si>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</si>
  <si>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</si>
  <si>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</si>
  <si>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</si>
  <si>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</si>
  <si>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</si>
  <si>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</si>
  <si>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</si>
  <si>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</si>
  <si>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4.1</t>
  </si>
  <si>
    <t>10</t>
  </si>
  <si>
    <t>10.2</t>
  </si>
  <si>
    <t>11.1</t>
  </si>
  <si>
    <t>11.2</t>
  </si>
  <si>
    <t>11.3</t>
  </si>
  <si>
    <t>12.1</t>
  </si>
  <si>
    <t>12.2</t>
  </si>
  <si>
    <t>13</t>
  </si>
  <si>
    <t>13.1</t>
  </si>
  <si>
    <t>14</t>
  </si>
  <si>
    <t>14.1</t>
  </si>
  <si>
    <t>к Договору № 1203-22-СУБ от 06 марта 2012 г.</t>
  </si>
  <si>
    <t>Субподрядчик:</t>
  </si>
  <si>
    <t>ФГУП «ГУССТ №9 при Спецстрое России»</t>
  </si>
  <si>
    <t xml:space="preserve">Заместитель начальника предприятия </t>
  </si>
  <si>
    <t xml:space="preserve">оборудованием и материалами – </t>
  </si>
  <si>
    <t>при Спецстрое России»</t>
  </si>
  <si>
    <t xml:space="preserve">2014 год </t>
  </si>
  <si>
    <t>Главный инженер</t>
  </si>
  <si>
    <t>В.В. Бойко</t>
  </si>
  <si>
    <t>Работы 2014 года, выполняемые в 2015 году</t>
  </si>
  <si>
    <t>Итого 2012-2015 г.г.:</t>
  </si>
  <si>
    <t>10.3</t>
  </si>
  <si>
    <t>10.4</t>
  </si>
  <si>
    <t>10.5</t>
  </si>
  <si>
    <t>10.6</t>
  </si>
  <si>
    <t>Всего по работам 2014 года, выполняемым в 2015 году:</t>
  </si>
  <si>
    <t>10.7</t>
  </si>
  <si>
    <t>10.8</t>
  </si>
  <si>
    <t>КИПиА, в осях Н-Т, ряд 1-19</t>
  </si>
  <si>
    <t>12</t>
  </si>
  <si>
    <t>А.А. Жуков</t>
  </si>
  <si>
    <t>Строительные работы в осях А-Г, ряд 5-20, устройство фундаментов</t>
  </si>
  <si>
    <t>Строительные работы в осях А-Г, ряд 5-20, монтаж каркаса, монтаж кровли, стенового ограждения</t>
  </si>
  <si>
    <t>Комплекс складов, в том числе:</t>
  </si>
  <si>
    <t>главный инженер ФГУП «Спецстройсервис»</t>
  </si>
  <si>
    <t xml:space="preserve">Врио начальника СМУ №911 </t>
  </si>
  <si>
    <t>ФГУП "ГУССТ №9 при Спецстрое России"</t>
  </si>
  <si>
    <t>Начальник сметного отдела СМУ № 911</t>
  </si>
  <si>
    <t>А.И.Ласкаржевский</t>
  </si>
  <si>
    <t>Е.Ю.Николаева</t>
  </si>
  <si>
    <t>Строительные работы в осях Д-И, ряд 1-19 (п. 2.4 графика)</t>
  </si>
  <si>
    <t>на выполнение работ по объекту «Реконструкция и техническое перевооружение</t>
  </si>
  <si>
    <t>РАСЧЕТ НАЧАЛЬНОЙ ЦЕНЫ ДОГОВОРА</t>
  </si>
  <si>
    <t>опытного производства АО "ЦКБ "Геофизика"</t>
  </si>
  <si>
    <t>1.1</t>
  </si>
  <si>
    <t>Статьи затрат</t>
  </si>
  <si>
    <t>7,18</t>
  </si>
  <si>
    <t>5,22</t>
  </si>
  <si>
    <t>Индексы, применяемые к базисной стоимости для определения стоимости Работ в текущих ценах:</t>
  </si>
  <si>
    <t>В текущих ценах, с НДС 20%, руб.</t>
  </si>
  <si>
    <t>в т.ч.НДС 20%</t>
  </si>
  <si>
    <t>Методические рекомендации по применению методов определения начальной (максимальной) цены договора, утверждены приказом Министерства экономического развития РФ от 02.10.2013 № 567</t>
  </si>
  <si>
    <t>Общестроительные работы</t>
  </si>
  <si>
    <t>2</t>
  </si>
  <si>
    <t>Корпус 1</t>
  </si>
  <si>
    <t>2.1</t>
  </si>
  <si>
    <t>Итого по договору :</t>
  </si>
  <si>
    <t>в т.ч. НДС 20%:</t>
  </si>
  <si>
    <t>1</t>
  </si>
  <si>
    <t>Корпус 4 (Комплекс складов)</t>
  </si>
  <si>
    <t>Очистные сооружения</t>
  </si>
  <si>
    <t>Строительные работы</t>
  </si>
  <si>
    <t>Устройство кабельной эстакады, монтаж фундаментов под ёмкости.</t>
  </si>
  <si>
    <t>Приоритетным, используемым по умолчанию методом для определения и обоснования НМЦ 
является проектно-сметный метод.</t>
  </si>
  <si>
    <t xml:space="preserve">Субподрядчик:
АО «Агат»
Генеральный   директор
___________________ Логинов А.И
м.п.
</t>
  </si>
  <si>
    <t xml:space="preserve">Генподрядчик:
ФГУП «ГВСУ № 12» 
Генеральный директор  
____________________ Д.А. Крижановский
м.п.   М.П.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</si>
</sst>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&quot;р.&quot;;\-#,##0.00&quot;р.&quot;"/>
    <numFmt numFmtId="165" formatCode="_-* #,##0.00_р_._-;\-* #,##0.00_р_._-;_-* &quot;-&quot;??_р_._-;_-@_-"/>
    <numFmt numFmtId="166" formatCode="#,##0.000_р_."/>
    <numFmt numFmtId="167" formatCode="0.000"/>
    <numFmt numFmtId="168" formatCode="#,##0.00&quot;р.&quot;"/>
    <numFmt numFmtId="169" formatCode="#,##0.00_р_."/>
    <numFmt numFmtId="170" formatCode="#,##0&quot;р.&quot;"/>
    <numFmt numFmtId="171" formatCode="#,##0.00_ ;\-#,##0.00\ 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u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name val="Arial Cyr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281">
    <xf numFmtId="0" fontId="0" fillId="0" borderId="0" xfId="0"/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right" wrapText="1"/>
    </xf>
    <xf numFmtId="0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168" fontId="2" fillId="0" borderId="0" xfId="0" applyNumberFormat="1" applyFont="1" applyAlignment="1">
      <alignment wrapText="1"/>
    </xf>
    <xf numFmtId="167" fontId="2" fillId="0" borderId="0" xfId="0" applyNumberFormat="1" applyFont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wrapText="1"/>
    </xf>
    <xf numFmtId="0" fontId="2" fillId="0" borderId="1" xfId="0" applyNumberFormat="1" applyFont="1" applyFill="1" applyBorder="1" applyAlignment="1">
      <alignment horizontal="center" vertical="center" wrapText="1"/>
    </xf>
    <xf numFmtId="165" fontId="2" fillId="0" borderId="0" xfId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49" fontId="9" fillId="0" borderId="0" xfId="0" applyNumberFormat="1" applyFont="1" applyAlignment="1">
      <alignment wrapText="1"/>
    </xf>
    <xf numFmtId="49" fontId="3" fillId="0" borderId="3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169" fontId="3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49" fontId="2" fillId="0" borderId="2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right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3" xfId="0" applyFont="1" applyBorder="1"/>
    <xf numFmtId="171" fontId="10" fillId="0" borderId="6" xfId="1" applyNumberFormat="1" applyFont="1" applyFill="1" applyBorder="1" applyAlignment="1">
      <alignment vertical="center"/>
    </xf>
    <xf numFmtId="171" fontId="10" fillId="0" borderId="0" xfId="1" applyNumberFormat="1" applyFont="1" applyFill="1" applyBorder="1" applyAlignment="1">
      <alignment vertical="center"/>
    </xf>
    <xf numFmtId="171" fontId="10" fillId="3" borderId="6" xfId="1" applyNumberFormat="1" applyFont="1" applyFill="1" applyBorder="1" applyAlignment="1">
      <alignment vertical="center"/>
    </xf>
    <xf numFmtId="171" fontId="10" fillId="3" borderId="0" xfId="1" applyNumberFormat="1" applyFont="1" applyFill="1" applyBorder="1" applyAlignment="1">
      <alignment vertical="center"/>
    </xf>
    <xf numFmtId="171" fontId="10" fillId="0" borderId="6" xfId="1" applyNumberFormat="1" applyFont="1" applyFill="1" applyBorder="1" applyAlignment="1">
      <alignment vertical="center" wrapText="1"/>
    </xf>
    <xf numFmtId="171" fontId="10" fillId="0" borderId="0" xfId="1" applyNumberFormat="1" applyFont="1" applyFill="1" applyBorder="1" applyAlignment="1">
      <alignment vertical="center" wrapText="1"/>
    </xf>
    <xf numFmtId="169" fontId="11" fillId="0" borderId="6" xfId="0" applyNumberFormat="1" applyFont="1" applyFill="1" applyBorder="1" applyAlignment="1">
      <alignment vertical="center" wrapText="1"/>
    </xf>
    <xf numFmtId="169" fontId="11" fillId="0" borderId="0" xfId="0" applyNumberFormat="1" applyFont="1" applyFill="1" applyBorder="1" applyAlignment="1">
      <alignment vertical="center" wrapText="1"/>
    </xf>
    <xf numFmtId="169" fontId="10" fillId="0" borderId="6" xfId="0" applyNumberFormat="1" applyFont="1" applyFill="1" applyBorder="1" applyAlignment="1">
      <alignment vertical="center"/>
    </xf>
    <xf numFmtId="169" fontId="10" fillId="0" borderId="0" xfId="0" applyNumberFormat="1" applyFont="1" applyFill="1" applyBorder="1" applyAlignment="1">
      <alignment vertical="center"/>
    </xf>
    <xf numFmtId="171" fontId="11" fillId="0" borderId="6" xfId="1" applyNumberFormat="1" applyFont="1" applyBorder="1" applyAlignment="1">
      <alignment wrapText="1"/>
    </xf>
    <xf numFmtId="171" fontId="11" fillId="0" borderId="0" xfId="1" applyNumberFormat="1" applyFont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right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171" fontId="2" fillId="0" borderId="0" xfId="1" applyNumberFormat="1" applyFont="1" applyFill="1" applyBorder="1" applyAlignment="1">
      <alignment vertical="center"/>
    </xf>
    <xf numFmtId="171" fontId="2" fillId="3" borderId="0" xfId="1" applyNumberFormat="1" applyFont="1" applyFill="1" applyBorder="1" applyAlignment="1">
      <alignment vertical="center"/>
    </xf>
    <xf numFmtId="171" fontId="2" fillId="0" borderId="0" xfId="1" applyNumberFormat="1" applyFont="1" applyFill="1" applyBorder="1" applyAlignment="1">
      <alignment vertical="center" wrapText="1"/>
    </xf>
    <xf numFmtId="169" fontId="3" fillId="0" borderId="0" xfId="0" applyNumberFormat="1" applyFont="1" applyFill="1" applyBorder="1" applyAlignment="1">
      <alignment vertical="center" wrapText="1"/>
    </xf>
    <xf numFmtId="169" fontId="2" fillId="0" borderId="0" xfId="0" applyNumberFormat="1" applyFont="1" applyFill="1" applyBorder="1" applyAlignment="1">
      <alignment vertical="center"/>
    </xf>
    <xf numFmtId="171" fontId="3" fillId="0" borderId="0" xfId="1" applyNumberFormat="1" applyFont="1" applyBorder="1" applyAlignment="1">
      <alignment wrapText="1"/>
    </xf>
    <xf numFmtId="169" fontId="2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49" fontId="9" fillId="0" borderId="0" xfId="0" applyNumberFormat="1" applyFont="1" applyAlignment="1">
      <alignment horizontal="left" wrapText="1"/>
    </xf>
    <xf numFmtId="49" fontId="2" fillId="4" borderId="0" xfId="0" applyNumberFormat="1" applyFont="1" applyFill="1" applyAlignment="1">
      <alignment wrapText="1"/>
    </xf>
    <xf numFmtId="49" fontId="2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Alignment="1"/>
    <xf numFmtId="49" fontId="3" fillId="4" borderId="0" xfId="0" applyNumberFormat="1" applyFont="1" applyFill="1" applyAlignment="1">
      <alignment wrapText="1"/>
    </xf>
    <xf numFmtId="0" fontId="2" fillId="4" borderId="0" xfId="0" applyFont="1" applyFill="1" applyAlignment="1">
      <alignment vertical="center"/>
    </xf>
    <xf numFmtId="0" fontId="2" fillId="4" borderId="3" xfId="0" applyFont="1" applyFill="1" applyBorder="1"/>
    <xf numFmtId="0" fontId="2" fillId="4" borderId="0" xfId="0" applyFont="1" applyFill="1"/>
    <xf numFmtId="49" fontId="3" fillId="4" borderId="3" xfId="0" applyNumberFormat="1" applyFont="1" applyFill="1" applyBorder="1" applyAlignment="1">
      <alignment wrapText="1"/>
    </xf>
    <xf numFmtId="0" fontId="2" fillId="4" borderId="0" xfId="0" applyFont="1" applyFill="1" applyAlignment="1">
      <alignment horizontal="left"/>
    </xf>
    <xf numFmtId="49" fontId="2" fillId="4" borderId="0" xfId="0" applyNumberFormat="1" applyFont="1" applyFill="1" applyAlignment="1">
      <alignment horizontal="right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wrapText="1"/>
    </xf>
    <xf numFmtId="49" fontId="3" fillId="4" borderId="1" xfId="0" applyNumberFormat="1" applyFont="1" applyFill="1" applyBorder="1" applyAlignment="1">
      <alignment horizontal="center" wrapText="1"/>
    </xf>
    <xf numFmtId="49" fontId="2" fillId="4" borderId="0" xfId="0" applyNumberFormat="1" applyFont="1" applyFill="1" applyBorder="1" applyAlignment="1">
      <alignment horizontal="center" vertical="center" wrapText="1"/>
    </xf>
    <xf numFmtId="49" fontId="2" fillId="4" borderId="0" xfId="0" applyNumberFormat="1" applyFont="1" applyFill="1" applyAlignment="1">
      <alignment horizontal="center" vertical="justify" wrapText="1"/>
    </xf>
    <xf numFmtId="165" fontId="2" fillId="4" borderId="0" xfId="1" applyFont="1" applyFill="1" applyAlignment="1">
      <alignment wrapText="1"/>
    </xf>
    <xf numFmtId="49" fontId="2" fillId="0" borderId="2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2" fillId="0" borderId="5" xfId="0" applyNumberFormat="1" applyFont="1" applyBorder="1" applyAlignment="1">
      <alignment horizontal="left" wrapText="1"/>
    </xf>
    <xf numFmtId="169" fontId="3" fillId="0" borderId="2" xfId="0" applyNumberFormat="1" applyFont="1" applyBorder="1" applyAlignment="1">
      <alignment horizontal="center" vertical="center" wrapText="1"/>
    </xf>
    <xf numFmtId="169" fontId="3" fillId="0" borderId="5" xfId="0" applyNumberFormat="1" applyFont="1" applyBorder="1" applyAlignment="1">
      <alignment horizontal="center" vertical="center" wrapText="1"/>
    </xf>
    <xf numFmtId="169" fontId="2" fillId="0" borderId="2" xfId="0" applyNumberFormat="1" applyFont="1" applyBorder="1" applyAlignment="1">
      <alignment horizontal="center" vertical="center" wrapText="1"/>
    </xf>
    <xf numFmtId="169" fontId="2" fillId="0" borderId="5" xfId="0" applyNumberFormat="1" applyFont="1" applyBorder="1" applyAlignment="1">
      <alignment horizontal="center" vertical="center" wrapText="1"/>
    </xf>
    <xf numFmtId="169" fontId="6" fillId="0" borderId="2" xfId="0" applyNumberFormat="1" applyFont="1" applyBorder="1" applyAlignment="1">
      <alignment horizontal="center" vertical="center"/>
    </xf>
    <xf numFmtId="169" fontId="6" fillId="0" borderId="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wrapText="1"/>
    </xf>
    <xf numFmtId="49" fontId="3" fillId="0" borderId="4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horizontal="left" wrapText="1"/>
    </xf>
    <xf numFmtId="169" fontId="7" fillId="0" borderId="2" xfId="0" applyNumberFormat="1" applyFont="1" applyBorder="1" applyAlignment="1">
      <alignment horizontal="center" vertical="center"/>
    </xf>
    <xf numFmtId="169" fontId="7" fillId="0" borderId="5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69" fontId="3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169" fontId="2" fillId="0" borderId="2" xfId="0" applyNumberFormat="1" applyFont="1" applyBorder="1" applyAlignment="1">
      <alignment horizontal="center" wrapText="1"/>
    </xf>
    <xf numFmtId="169" fontId="2" fillId="0" borderId="5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166" fontId="2" fillId="0" borderId="2" xfId="0" applyNumberFormat="1" applyFont="1" applyBorder="1" applyAlignment="1">
      <alignment horizontal="center" wrapText="1"/>
    </xf>
    <xf numFmtId="166" fontId="2" fillId="0" borderId="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center" vertical="justify" wrapText="1"/>
    </xf>
    <xf numFmtId="49" fontId="2" fillId="0" borderId="0" xfId="0" applyNumberFormat="1" applyFont="1" applyAlignment="1">
      <alignment horizontal="center" wrapText="1"/>
    </xf>
    <xf numFmtId="166" fontId="2" fillId="0" borderId="1" xfId="0" applyNumberFormat="1" applyFont="1" applyBorder="1" applyAlignment="1">
      <alignment horizontal="center" wrapText="1"/>
    </xf>
    <xf numFmtId="169" fontId="3" fillId="0" borderId="1" xfId="0" applyNumberFormat="1" applyFont="1" applyBorder="1" applyAlignment="1">
      <alignment horizontal="center" wrapText="1"/>
    </xf>
    <xf numFmtId="166" fontId="3" fillId="0" borderId="2" xfId="0" applyNumberFormat="1" applyFont="1" applyBorder="1" applyAlignment="1">
      <alignment horizontal="center" wrapText="1"/>
    </xf>
    <xf numFmtId="166" fontId="3" fillId="0" borderId="5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wrapText="1"/>
    </xf>
    <xf numFmtId="166" fontId="3" fillId="0" borderId="1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right" wrapText="1"/>
    </xf>
    <xf numFmtId="168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 wrapText="1"/>
    </xf>
    <xf numFmtId="170" fontId="3" fillId="0" borderId="0" xfId="0" applyNumberFormat="1" applyFont="1" applyAlignment="1">
      <alignment horizont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wrapText="1"/>
    </xf>
    <xf numFmtId="0" fontId="3" fillId="0" borderId="2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top" wrapText="1" indent="16"/>
    </xf>
    <xf numFmtId="49" fontId="3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71" fontId="3" fillId="0" borderId="2" xfId="1" applyNumberFormat="1" applyFont="1" applyBorder="1" applyAlignment="1">
      <alignment horizontal="center" wrapText="1"/>
    </xf>
    <xf numFmtId="171" fontId="3" fillId="0" borderId="5" xfId="1" applyNumberFormat="1" applyFont="1" applyBorder="1" applyAlignment="1">
      <alignment horizontal="center" wrapText="1"/>
    </xf>
    <xf numFmtId="169" fontId="3" fillId="0" borderId="2" xfId="0" applyNumberFormat="1" applyFont="1" applyBorder="1" applyAlignment="1">
      <alignment horizontal="center" wrapText="1"/>
    </xf>
    <xf numFmtId="169" fontId="3" fillId="0" borderId="5" xfId="0" applyNumberFormat="1" applyFont="1" applyBorder="1" applyAlignment="1">
      <alignment horizontal="center" wrapText="1"/>
    </xf>
    <xf numFmtId="0" fontId="6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169" fontId="2" fillId="0" borderId="2" xfId="0" applyNumberFormat="1" applyFont="1" applyFill="1" applyBorder="1" applyAlignment="1">
      <alignment horizontal="center" vertical="center"/>
    </xf>
    <xf numFmtId="169" fontId="2" fillId="0" borderId="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169" fontId="3" fillId="0" borderId="2" xfId="0" applyNumberFormat="1" applyFont="1" applyFill="1" applyBorder="1" applyAlignment="1">
      <alignment horizontal="center" vertical="center" wrapText="1"/>
    </xf>
    <xf numFmtId="169" fontId="3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171" fontId="2" fillId="0" borderId="2" xfId="1" applyNumberFormat="1" applyFont="1" applyFill="1" applyBorder="1" applyAlignment="1">
      <alignment horizontal="center" vertical="center"/>
    </xf>
    <xf numFmtId="171" fontId="2" fillId="0" borderId="5" xfId="1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171" fontId="10" fillId="0" borderId="2" xfId="1" applyNumberFormat="1" applyFont="1" applyFill="1" applyBorder="1" applyAlignment="1">
      <alignment horizontal="center" vertical="center"/>
    </xf>
    <xf numFmtId="171" fontId="10" fillId="0" borderId="5" xfId="1" applyNumberFormat="1" applyFont="1" applyFill="1" applyBorder="1" applyAlignment="1">
      <alignment horizontal="center" vertical="center"/>
    </xf>
    <xf numFmtId="169" fontId="2" fillId="0" borderId="2" xfId="0" applyNumberFormat="1" applyFont="1" applyFill="1" applyBorder="1" applyAlignment="1">
      <alignment horizontal="center" vertical="center" wrapText="1"/>
    </xf>
    <xf numFmtId="169" fontId="2" fillId="0" borderId="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wrapText="1"/>
    </xf>
    <xf numFmtId="49" fontId="2" fillId="0" borderId="4" xfId="0" applyNumberFormat="1" applyFont="1" applyFill="1" applyBorder="1" applyAlignment="1">
      <alignment horizontal="left" wrapText="1"/>
    </xf>
    <xf numFmtId="49" fontId="2" fillId="0" borderId="5" xfId="0" applyNumberFormat="1" applyFont="1" applyFill="1" applyBorder="1" applyAlignment="1">
      <alignment horizontal="left" wrapText="1"/>
    </xf>
    <xf numFmtId="171" fontId="2" fillId="0" borderId="2" xfId="1" applyNumberFormat="1" applyFont="1" applyFill="1" applyBorder="1" applyAlignment="1">
      <alignment horizontal="center" vertical="center" wrapText="1"/>
    </xf>
    <xf numFmtId="171" fontId="2" fillId="0" borderId="5" xfId="1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left" wrapText="1"/>
    </xf>
    <xf numFmtId="49" fontId="2" fillId="3" borderId="4" xfId="0" applyNumberFormat="1" applyFont="1" applyFill="1" applyBorder="1" applyAlignment="1">
      <alignment horizontal="left" wrapText="1"/>
    </xf>
    <xf numFmtId="49" fontId="2" fillId="3" borderId="5" xfId="0" applyNumberFormat="1" applyFont="1" applyFill="1" applyBorder="1" applyAlignment="1">
      <alignment horizontal="left" wrapText="1"/>
    </xf>
    <xf numFmtId="171" fontId="2" fillId="3" borderId="2" xfId="1" applyNumberFormat="1" applyFont="1" applyFill="1" applyBorder="1" applyAlignment="1">
      <alignment horizontal="center" vertical="center"/>
    </xf>
    <xf numFmtId="171" fontId="2" fillId="3" borderId="5" xfId="1" applyNumberFormat="1" applyFont="1" applyFill="1" applyBorder="1" applyAlignment="1">
      <alignment horizontal="center" vertical="center"/>
    </xf>
    <xf numFmtId="171" fontId="2" fillId="0" borderId="2" xfId="1" applyNumberFormat="1" applyFont="1" applyBorder="1" applyAlignment="1">
      <alignment horizontal="center" wrapText="1"/>
    </xf>
    <xf numFmtId="171" fontId="2" fillId="0" borderId="5" xfId="1" applyNumberFormat="1" applyFont="1" applyBorder="1" applyAlignment="1">
      <alignment horizontal="center" wrapText="1"/>
    </xf>
    <xf numFmtId="169" fontId="6" fillId="0" borderId="2" xfId="0" applyNumberFormat="1" applyFont="1" applyFill="1" applyBorder="1" applyAlignment="1">
      <alignment horizontal="center" vertical="center"/>
    </xf>
    <xf numFmtId="169" fontId="6" fillId="0" borderId="5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9" fontId="7" fillId="0" borderId="2" xfId="0" applyNumberFormat="1" applyFont="1" applyFill="1" applyBorder="1" applyAlignment="1">
      <alignment horizontal="center" vertical="center"/>
    </xf>
    <xf numFmtId="169" fontId="7" fillId="0" borderId="5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49" fontId="5" fillId="0" borderId="5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wrapText="1"/>
    </xf>
    <xf numFmtId="49" fontId="9" fillId="0" borderId="0" xfId="0" applyNumberFormat="1" applyFont="1" applyAlignment="1">
      <alignment horizontal="right" wrapText="1"/>
    </xf>
    <xf numFmtId="171" fontId="2" fillId="3" borderId="2" xfId="1" applyNumberFormat="1" applyFont="1" applyFill="1" applyBorder="1" applyAlignment="1">
      <alignment horizontal="center" vertical="center" wrapText="1"/>
    </xf>
    <xf numFmtId="171" fontId="2" fillId="3" borderId="5" xfId="1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4" borderId="2" xfId="0" applyNumberFormat="1" applyFont="1" applyFill="1" applyBorder="1" applyAlignment="1">
      <alignment horizontal="left" wrapText="1"/>
    </xf>
    <xf numFmtId="49" fontId="2" fillId="4" borderId="4" xfId="0" applyNumberFormat="1" applyFont="1" applyFill="1" applyBorder="1" applyAlignment="1">
      <alignment horizontal="left" wrapText="1"/>
    </xf>
    <xf numFmtId="49" fontId="2" fillId="4" borderId="5" xfId="0" applyNumberFormat="1" applyFont="1" applyFill="1" applyBorder="1" applyAlignment="1">
      <alignment horizontal="left" wrapText="1"/>
    </xf>
    <xf numFmtId="169" fontId="6" fillId="4" borderId="2" xfId="0" applyNumberFormat="1" applyFont="1" applyFill="1" applyBorder="1" applyAlignment="1">
      <alignment horizontal="right" vertical="center"/>
    </xf>
    <xf numFmtId="169" fontId="6" fillId="4" borderId="5" xfId="0" applyNumberFormat="1" applyFont="1" applyFill="1" applyBorder="1" applyAlignment="1">
      <alignment horizontal="right" vertical="center"/>
    </xf>
    <xf numFmtId="49" fontId="2" fillId="4" borderId="0" xfId="0" applyNumberFormat="1" applyFont="1" applyFill="1" applyAlignment="1">
      <alignment horizontal="left" wrapText="1"/>
    </xf>
    <xf numFmtId="49" fontId="2" fillId="4" borderId="0" xfId="0" applyNumberFormat="1" applyFont="1" applyFill="1" applyAlignment="1">
      <alignment horizontal="right" wrapText="1"/>
    </xf>
    <xf numFmtId="164" fontId="3" fillId="4" borderId="0" xfId="0" applyNumberFormat="1" applyFont="1" applyFill="1" applyAlignment="1">
      <alignment horizontal="center" wrapText="1"/>
    </xf>
    <xf numFmtId="49" fontId="3" fillId="4" borderId="7" xfId="0" applyNumberFormat="1" applyFont="1" applyFill="1" applyBorder="1" applyAlignment="1">
      <alignment horizontal="right" vertical="top" wrapText="1"/>
    </xf>
    <xf numFmtId="0" fontId="0" fillId="0" borderId="7" xfId="0" applyBorder="1" applyAlignment="1">
      <alignment horizontal="right" vertical="top" wrapText="1"/>
    </xf>
    <xf numFmtId="49" fontId="9" fillId="4" borderId="0" xfId="0" applyNumberFormat="1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164" fontId="2" fillId="4" borderId="0" xfId="0" applyNumberFormat="1" applyFont="1" applyFill="1" applyAlignment="1">
      <alignment horizontal="center" wrapText="1"/>
    </xf>
    <xf numFmtId="49" fontId="3" fillId="4" borderId="7" xfId="0" applyNumberFormat="1" applyFont="1" applyFill="1" applyBorder="1" applyAlignment="1">
      <alignment horizontal="left" vertical="top" wrapText="1"/>
    </xf>
    <xf numFmtId="49" fontId="2" fillId="4" borderId="0" xfId="0" applyNumberFormat="1" applyFont="1" applyFill="1" applyAlignment="1">
      <alignment horizontal="center" wrapText="1"/>
    </xf>
    <xf numFmtId="0" fontId="2" fillId="4" borderId="0" xfId="0" applyFont="1" applyFill="1" applyAlignment="1">
      <alignment horizontal="left"/>
    </xf>
    <xf numFmtId="49" fontId="3" fillId="4" borderId="0" xfId="0" applyNumberFormat="1" applyFont="1" applyFill="1" applyAlignment="1">
      <alignment horizontal="left" vertical="top" wrapText="1" indent="16"/>
    </xf>
    <xf numFmtId="49" fontId="3" fillId="4" borderId="0" xfId="0" applyNumberFormat="1" applyFont="1" applyFill="1" applyAlignment="1">
      <alignment horizontal="left" wrapText="1"/>
    </xf>
    <xf numFmtId="49" fontId="2" fillId="4" borderId="0" xfId="0" applyNumberFormat="1" applyFont="1" applyFill="1" applyAlignment="1">
      <alignment horizontal="left"/>
    </xf>
    <xf numFmtId="49" fontId="3" fillId="4" borderId="2" xfId="0" applyNumberFormat="1" applyFont="1" applyFill="1" applyBorder="1" applyAlignment="1">
      <alignment horizontal="left" wrapText="1"/>
    </xf>
    <xf numFmtId="169" fontId="7" fillId="4" borderId="2" xfId="0" applyNumberFormat="1" applyFont="1" applyFill="1" applyBorder="1" applyAlignment="1">
      <alignment horizontal="right" vertical="center"/>
    </xf>
    <xf numFmtId="169" fontId="7" fillId="4" borderId="5" xfId="0" applyNumberFormat="1" applyFont="1" applyFill="1" applyBorder="1" applyAlignment="1">
      <alignment horizontal="right" vertical="center"/>
    </xf>
    <xf numFmtId="169" fontId="2" fillId="4" borderId="2" xfId="0" applyNumberFormat="1" applyFont="1" applyFill="1" applyBorder="1" applyAlignment="1">
      <alignment horizontal="center" wrapText="1"/>
    </xf>
    <xf numFmtId="169" fontId="2" fillId="4" borderId="5" xfId="0" applyNumberFormat="1" applyFont="1" applyFill="1" applyBorder="1" applyAlignment="1">
      <alignment horizontal="center" wrapText="1"/>
    </xf>
    <xf numFmtId="49" fontId="3" fillId="4" borderId="4" xfId="0" applyNumberFormat="1" applyFont="1" applyFill="1" applyBorder="1" applyAlignment="1">
      <alignment horizontal="left" wrapText="1"/>
    </xf>
    <xf numFmtId="49" fontId="3" fillId="4" borderId="5" xfId="0" applyNumberFormat="1" applyFont="1" applyFill="1" applyBorder="1" applyAlignment="1">
      <alignment horizontal="left" wrapText="1"/>
    </xf>
    <xf numFmtId="169" fontId="3" fillId="4" borderId="2" xfId="0" applyNumberFormat="1" applyFont="1" applyFill="1" applyBorder="1" applyAlignment="1">
      <alignment horizontal="center" wrapText="1"/>
    </xf>
    <xf numFmtId="169" fontId="3" fillId="4" borderId="5" xfId="0" applyNumberFormat="1" applyFont="1" applyFill="1" applyBorder="1" applyAlignment="1">
      <alignment horizontal="center" wrapText="1"/>
    </xf>
    <xf numFmtId="165" fontId="7" fillId="4" borderId="2" xfId="1" applyFont="1" applyFill="1" applyBorder="1" applyAlignment="1">
      <alignment horizontal="right" vertical="center"/>
    </xf>
    <xf numFmtId="165" fontId="7" fillId="4" borderId="5" xfId="1" applyFont="1" applyFill="1" applyBorder="1" applyAlignment="1">
      <alignment horizontal="right" vertical="center"/>
    </xf>
    <xf numFmtId="167" fontId="13" fillId="4" borderId="2" xfId="2" applyNumberFormat="1" applyFont="1" applyFill="1" applyBorder="1" applyAlignment="1">
      <alignment horizontal="left" vertical="center" wrapText="1"/>
    </xf>
    <xf numFmtId="167" fontId="13" fillId="4" borderId="4" xfId="2" applyNumberFormat="1" applyFont="1" applyFill="1" applyBorder="1" applyAlignment="1">
      <alignment horizontal="left" vertical="center" wrapText="1"/>
    </xf>
    <xf numFmtId="167" fontId="13" fillId="4" borderId="5" xfId="2" applyNumberFormat="1" applyFont="1" applyFill="1" applyBorder="1" applyAlignment="1">
      <alignment horizontal="left" vertical="center" wrapText="1"/>
    </xf>
    <xf numFmtId="165" fontId="6" fillId="4" borderId="2" xfId="1" applyFont="1" applyFill="1" applyBorder="1" applyAlignment="1">
      <alignment horizontal="right" vertical="center"/>
    </xf>
    <xf numFmtId="165" fontId="6" fillId="4" borderId="5" xfId="1" applyFont="1" applyFill="1" applyBorder="1" applyAlignment="1">
      <alignment horizontal="right" vertical="center"/>
    </xf>
    <xf numFmtId="49" fontId="3" fillId="4" borderId="1" xfId="0" applyNumberFormat="1" applyFont="1" applyFill="1" applyBorder="1" applyAlignment="1">
      <alignment horizontal="left" wrapText="1"/>
    </xf>
    <xf numFmtId="169" fontId="7" fillId="4" borderId="2" xfId="0" applyNumberFormat="1" applyFont="1" applyFill="1" applyBorder="1" applyAlignment="1">
      <alignment horizontal="center" vertical="center"/>
    </xf>
    <xf numFmtId="169" fontId="7" fillId="4" borderId="5" xfId="0" applyNumberFormat="1" applyFont="1" applyFill="1" applyBorder="1" applyAlignment="1">
      <alignment horizontal="center" vertical="center"/>
    </xf>
    <xf numFmtId="49" fontId="2" fillId="4" borderId="0" xfId="0" applyNumberFormat="1" applyFont="1" applyFill="1" applyAlignment="1">
      <alignment horizontal="center" vertical="justify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3" fillId="4" borderId="0" xfId="0" applyNumberFormat="1" applyFont="1" applyFill="1" applyAlignment="1">
      <alignment horizontal="center" wrapText="1"/>
    </xf>
    <xf numFmtId="0" fontId="0" fillId="0" borderId="0" xfId="0" applyAlignment="1">
      <alignment horizontal="center" vertical="justify" wrapText="1"/>
    </xf>
    <xf numFmtId="0" fontId="2" fillId="4" borderId="0" xfId="0" applyFont="1" applyFill="1" applyBorder="1" applyAlignment="1">
      <alignment horizontal="center" vertical="center" wrapText="1"/>
    </xf>
    <xf numFmtId="49" fontId="2" fillId="4" borderId="0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view="pageBreakPreview" topLeftCell="A82" zoomScaleNormal="100" workbookViewId="0">
      <selection activeCell="B30" sqref="B30:D30"/>
    </sheetView>
  </sheetViews>
  <sheetFormatPr defaultColWidth="9.140625" defaultRowHeight="15" x14ac:dyDescent="0.25"/>
  <cols>
    <col min="1" max="1" width="5.5703125" style="1" customWidth="1"/>
    <col min="2" max="2" width="22" style="1" customWidth="1"/>
    <col min="3" max="3" width="18.7109375" style="1" customWidth="1"/>
    <col min="4" max="4" width="21.42578125" style="1" customWidth="1"/>
    <col min="5" max="5" width="8.28515625" style="1" customWidth="1"/>
    <col min="6" max="6" width="9.85546875" style="1" customWidth="1"/>
    <col min="7" max="7" width="16.7109375" style="1" bestFit="1" customWidth="1"/>
    <col min="8" max="8" width="9.42578125" style="1" bestFit="1" customWidth="1"/>
    <col min="9" max="16384" width="9.140625" style="1"/>
  </cols>
  <sheetData>
    <row r="1" spans="1:7" ht="15.75" customHeight="1" x14ac:dyDescent="0.25">
      <c r="D1" s="138" t="s">
        <v>0</v>
      </c>
      <c r="E1" s="138"/>
      <c r="F1" s="138"/>
      <c r="G1" s="2"/>
    </row>
    <row r="2" spans="1:7" ht="15.75" customHeight="1" x14ac:dyDescent="0.25">
      <c r="D2" s="139" t="s">
        <v>89</v>
      </c>
      <c r="E2" s="139"/>
      <c r="F2" s="139"/>
    </row>
    <row r="3" spans="1:7" ht="15.75" customHeight="1" x14ac:dyDescent="0.25">
      <c r="D3" s="138" t="s">
        <v>88</v>
      </c>
      <c r="E3" s="138"/>
      <c r="F3" s="138"/>
      <c r="G3" s="2"/>
    </row>
    <row r="4" spans="1:7" ht="15.75" customHeight="1" x14ac:dyDescent="0.25">
      <c r="D4" s="139" t="s">
        <v>1</v>
      </c>
      <c r="E4" s="139"/>
      <c r="F4" s="139"/>
    </row>
    <row r="9" spans="1:7" hidden="1" x14ac:dyDescent="0.25"/>
    <row r="10" spans="1:7" x14ac:dyDescent="0.25">
      <c r="A10" s="141" t="s">
        <v>2</v>
      </c>
      <c r="B10" s="141"/>
      <c r="C10" s="141"/>
      <c r="D10" s="141"/>
      <c r="E10" s="141"/>
      <c r="F10" s="141"/>
    </row>
    <row r="11" spans="1:7" x14ac:dyDescent="0.25">
      <c r="A11" s="141" t="s">
        <v>3</v>
      </c>
      <c r="B11" s="141"/>
      <c r="C11" s="141"/>
      <c r="D11" s="141"/>
      <c r="E11" s="141"/>
      <c r="F11" s="141"/>
    </row>
    <row r="12" spans="1:7" x14ac:dyDescent="0.25">
      <c r="A12" s="141" t="s">
        <v>4</v>
      </c>
      <c r="B12" s="141"/>
      <c r="C12" s="141"/>
      <c r="D12" s="141"/>
      <c r="E12" s="141"/>
      <c r="F12" s="141"/>
    </row>
    <row r="13" spans="1:7" ht="30" customHeight="1" x14ac:dyDescent="0.25">
      <c r="A13" s="140" t="s">
        <v>93</v>
      </c>
      <c r="B13" s="140"/>
      <c r="C13" s="140"/>
      <c r="D13" s="140"/>
      <c r="E13" s="140"/>
      <c r="F13" s="140"/>
    </row>
    <row r="15" spans="1:7" ht="45" x14ac:dyDescent="0.25">
      <c r="A15" s="3" t="s">
        <v>5</v>
      </c>
      <c r="B15" s="3" t="s">
        <v>6</v>
      </c>
      <c r="C15" s="137" t="s">
        <v>7</v>
      </c>
      <c r="D15" s="137"/>
      <c r="E15" s="137" t="s">
        <v>8</v>
      </c>
      <c r="F15" s="137"/>
    </row>
    <row r="16" spans="1:7" x14ac:dyDescent="0.25">
      <c r="A16" s="4">
        <v>1</v>
      </c>
      <c r="B16" s="4">
        <v>2</v>
      </c>
      <c r="C16" s="130">
        <v>3</v>
      </c>
      <c r="D16" s="132"/>
      <c r="E16" s="130">
        <v>4</v>
      </c>
      <c r="F16" s="132"/>
    </row>
    <row r="17" spans="1:6" x14ac:dyDescent="0.25">
      <c r="A17" s="136" t="s">
        <v>16</v>
      </c>
      <c r="B17" s="136"/>
      <c r="C17" s="136"/>
      <c r="D17" s="136"/>
      <c r="E17" s="136"/>
      <c r="F17" s="136"/>
    </row>
    <row r="18" spans="1:6" x14ac:dyDescent="0.25">
      <c r="A18" s="4">
        <v>1</v>
      </c>
      <c r="B18" s="82" t="s">
        <v>12</v>
      </c>
      <c r="C18" s="83"/>
      <c r="D18" s="84"/>
      <c r="E18" s="133">
        <v>131000</v>
      </c>
      <c r="F18" s="134"/>
    </row>
    <row r="19" spans="1:6" x14ac:dyDescent="0.25">
      <c r="A19" s="4">
        <v>2</v>
      </c>
      <c r="B19" s="82" t="s">
        <v>17</v>
      </c>
      <c r="C19" s="83"/>
      <c r="D19" s="84"/>
      <c r="E19" s="133">
        <v>35000</v>
      </c>
      <c r="F19" s="134"/>
    </row>
    <row r="20" spans="1:6" x14ac:dyDescent="0.25">
      <c r="A20" s="124" t="s">
        <v>18</v>
      </c>
      <c r="B20" s="125"/>
      <c r="C20" s="125"/>
      <c r="D20" s="125"/>
      <c r="E20" s="144">
        <f>SUM(E18:F19)</f>
        <v>166000</v>
      </c>
      <c r="F20" s="145"/>
    </row>
    <row r="21" spans="1:6" x14ac:dyDescent="0.25">
      <c r="A21" s="136" t="s">
        <v>19</v>
      </c>
      <c r="B21" s="136"/>
      <c r="C21" s="136"/>
      <c r="D21" s="136"/>
      <c r="E21" s="136"/>
      <c r="F21" s="136"/>
    </row>
    <row r="22" spans="1:6" ht="15" customHeight="1" x14ac:dyDescent="0.25">
      <c r="A22" s="6">
        <v>3</v>
      </c>
      <c r="B22" s="146" t="s">
        <v>12</v>
      </c>
      <c r="C22" s="146"/>
      <c r="D22" s="146"/>
      <c r="E22" s="142">
        <v>95000</v>
      </c>
      <c r="F22" s="142"/>
    </row>
    <row r="23" spans="1:6" ht="30" customHeight="1" x14ac:dyDescent="0.25">
      <c r="A23" s="6">
        <v>4</v>
      </c>
      <c r="B23" s="146" t="s">
        <v>91</v>
      </c>
      <c r="C23" s="146"/>
      <c r="D23" s="146"/>
      <c r="E23" s="142">
        <v>105000</v>
      </c>
      <c r="F23" s="142"/>
    </row>
    <row r="24" spans="1:6" x14ac:dyDescent="0.25">
      <c r="A24" s="6"/>
      <c r="B24" s="130" t="s">
        <v>92</v>
      </c>
      <c r="C24" s="131"/>
      <c r="D24" s="132"/>
      <c r="E24" s="133">
        <f>6662734/1000</f>
        <v>6662.7340000000004</v>
      </c>
      <c r="F24" s="134"/>
    </row>
    <row r="25" spans="1:6" x14ac:dyDescent="0.25">
      <c r="A25" s="136" t="s">
        <v>13</v>
      </c>
      <c r="B25" s="136"/>
      <c r="C25" s="136"/>
      <c r="D25" s="136"/>
      <c r="E25" s="147">
        <f>SUM(E22:F24)</f>
        <v>206662.734</v>
      </c>
      <c r="F25" s="147"/>
    </row>
    <row r="26" spans="1:6" x14ac:dyDescent="0.25">
      <c r="A26" s="136" t="s">
        <v>14</v>
      </c>
      <c r="B26" s="136"/>
      <c r="C26" s="136"/>
      <c r="D26" s="136"/>
      <c r="E26" s="136"/>
      <c r="F26" s="136"/>
    </row>
    <row r="27" spans="1:6" x14ac:dyDescent="0.25">
      <c r="A27" s="135" t="s">
        <v>9</v>
      </c>
      <c r="B27" s="135"/>
      <c r="C27" s="135"/>
      <c r="D27" s="135"/>
      <c r="E27" s="135"/>
      <c r="F27" s="135"/>
    </row>
    <row r="28" spans="1:6" x14ac:dyDescent="0.25">
      <c r="A28" s="3">
        <v>5</v>
      </c>
      <c r="B28" s="127" t="s">
        <v>114</v>
      </c>
      <c r="C28" s="128"/>
      <c r="D28" s="129"/>
      <c r="E28" s="85"/>
      <c r="F28" s="86"/>
    </row>
    <row r="29" spans="1:6" x14ac:dyDescent="0.25">
      <c r="A29" s="3" t="s">
        <v>10</v>
      </c>
      <c r="B29" s="82" t="s">
        <v>97</v>
      </c>
      <c r="C29" s="83"/>
      <c r="D29" s="84"/>
      <c r="E29" s="87">
        <v>18847</v>
      </c>
      <c r="F29" s="88"/>
    </row>
    <row r="30" spans="1:6" x14ac:dyDescent="0.25">
      <c r="A30" s="3" t="s">
        <v>11</v>
      </c>
      <c r="B30" s="82" t="s">
        <v>98</v>
      </c>
      <c r="C30" s="83"/>
      <c r="D30" s="84"/>
      <c r="E30" s="87">
        <v>4353</v>
      </c>
      <c r="F30" s="88"/>
    </row>
    <row r="31" spans="1:6" x14ac:dyDescent="0.25">
      <c r="A31" s="3" t="s">
        <v>57</v>
      </c>
      <c r="B31" s="127" t="s">
        <v>115</v>
      </c>
      <c r="C31" s="128"/>
      <c r="D31" s="129"/>
      <c r="E31" s="87"/>
      <c r="F31" s="88"/>
    </row>
    <row r="32" spans="1:6" x14ac:dyDescent="0.25">
      <c r="A32" s="3" t="s">
        <v>58</v>
      </c>
      <c r="B32" s="82" t="s">
        <v>99</v>
      </c>
      <c r="C32" s="83"/>
      <c r="D32" s="84"/>
      <c r="E32" s="89">
        <v>9370</v>
      </c>
      <c r="F32" s="90"/>
    </row>
    <row r="33" spans="1:6" x14ac:dyDescent="0.25">
      <c r="A33" s="3" t="s">
        <v>59</v>
      </c>
      <c r="B33" s="82" t="s">
        <v>100</v>
      </c>
      <c r="C33" s="83"/>
      <c r="D33" s="84"/>
      <c r="E33" s="89">
        <v>54420</v>
      </c>
      <c r="F33" s="90"/>
    </row>
    <row r="34" spans="1:6" ht="30" customHeight="1" x14ac:dyDescent="0.25">
      <c r="A34" s="3" t="s">
        <v>60</v>
      </c>
      <c r="B34" s="82" t="s">
        <v>101</v>
      </c>
      <c r="C34" s="83"/>
      <c r="D34" s="84"/>
      <c r="E34" s="89">
        <v>19680</v>
      </c>
      <c r="F34" s="90"/>
    </row>
    <row r="35" spans="1:6" x14ac:dyDescent="0.25">
      <c r="A35" s="3" t="s">
        <v>61</v>
      </c>
      <c r="B35" s="82" t="s">
        <v>102</v>
      </c>
      <c r="C35" s="83"/>
      <c r="D35" s="84"/>
      <c r="E35" s="89">
        <v>4848</v>
      </c>
      <c r="F35" s="90"/>
    </row>
    <row r="36" spans="1:6" x14ac:dyDescent="0.25">
      <c r="A36" s="3" t="s">
        <v>62</v>
      </c>
      <c r="B36" s="82" t="s">
        <v>103</v>
      </c>
      <c r="C36" s="83"/>
      <c r="D36" s="84"/>
      <c r="E36" s="89">
        <v>32301</v>
      </c>
      <c r="F36" s="90"/>
    </row>
    <row r="37" spans="1:6" ht="30" customHeight="1" x14ac:dyDescent="0.25">
      <c r="A37" s="3" t="s">
        <v>63</v>
      </c>
      <c r="B37" s="82" t="s">
        <v>104</v>
      </c>
      <c r="C37" s="83"/>
      <c r="D37" s="84"/>
      <c r="E37" s="89">
        <v>12052</v>
      </c>
      <c r="F37" s="90"/>
    </row>
    <row r="38" spans="1:6" ht="30" customHeight="1" x14ac:dyDescent="0.25">
      <c r="A38" s="3" t="s">
        <v>64</v>
      </c>
      <c r="B38" s="82" t="s">
        <v>105</v>
      </c>
      <c r="C38" s="83"/>
      <c r="D38" s="84"/>
      <c r="E38" s="89">
        <v>20907</v>
      </c>
      <c r="F38" s="90"/>
    </row>
    <row r="39" spans="1:6" x14ac:dyDescent="0.25">
      <c r="A39" s="3" t="s">
        <v>65</v>
      </c>
      <c r="B39" s="82" t="s">
        <v>106</v>
      </c>
      <c r="C39" s="83"/>
      <c r="D39" s="84"/>
      <c r="E39" s="89">
        <v>20000</v>
      </c>
      <c r="F39" s="90"/>
    </row>
    <row r="40" spans="1:6" x14ac:dyDescent="0.25">
      <c r="A40" s="3" t="s">
        <v>66</v>
      </c>
      <c r="B40" s="82" t="s">
        <v>107</v>
      </c>
      <c r="C40" s="83"/>
      <c r="D40" s="84"/>
      <c r="E40" s="89">
        <v>5700</v>
      </c>
      <c r="F40" s="90"/>
    </row>
    <row r="41" spans="1:6" x14ac:dyDescent="0.25">
      <c r="A41" s="3" t="s">
        <v>67</v>
      </c>
      <c r="B41" s="82" t="s">
        <v>108</v>
      </c>
      <c r="C41" s="83"/>
      <c r="D41" s="84"/>
      <c r="E41" s="89">
        <v>24130</v>
      </c>
      <c r="F41" s="90"/>
    </row>
    <row r="42" spans="1:6" x14ac:dyDescent="0.25">
      <c r="A42" s="3" t="s">
        <v>68</v>
      </c>
      <c r="B42" s="82" t="s">
        <v>109</v>
      </c>
      <c r="C42" s="83"/>
      <c r="D42" s="84"/>
      <c r="E42" s="89">
        <v>30000</v>
      </c>
      <c r="F42" s="90"/>
    </row>
    <row r="43" spans="1:6" ht="45" customHeight="1" x14ac:dyDescent="0.25">
      <c r="A43" s="3" t="s">
        <v>69</v>
      </c>
      <c r="B43" s="127" t="s">
        <v>110</v>
      </c>
      <c r="C43" s="128"/>
      <c r="D43" s="129"/>
      <c r="E43" s="87">
        <v>19980.633000000002</v>
      </c>
      <c r="F43" s="88"/>
    </row>
    <row r="44" spans="1:6" ht="30" customHeight="1" x14ac:dyDescent="0.25">
      <c r="A44" s="3" t="s">
        <v>70</v>
      </c>
      <c r="B44" s="82" t="s">
        <v>111</v>
      </c>
      <c r="C44" s="83"/>
      <c r="D44" s="84"/>
      <c r="E44" s="89">
        <v>2700</v>
      </c>
      <c r="F44" s="90"/>
    </row>
    <row r="45" spans="1:6" ht="30" customHeight="1" x14ac:dyDescent="0.25">
      <c r="A45" s="3" t="s">
        <v>71</v>
      </c>
      <c r="B45" s="82" t="s">
        <v>112</v>
      </c>
      <c r="C45" s="83"/>
      <c r="D45" s="84"/>
      <c r="E45" s="89">
        <v>4945</v>
      </c>
      <c r="F45" s="90"/>
    </row>
    <row r="46" spans="1:6" x14ac:dyDescent="0.25">
      <c r="A46" s="3" t="s">
        <v>72</v>
      </c>
      <c r="B46" s="82" t="s">
        <v>113</v>
      </c>
      <c r="C46" s="83"/>
      <c r="D46" s="84"/>
      <c r="E46" s="89">
        <v>860</v>
      </c>
      <c r="F46" s="90"/>
    </row>
    <row r="47" spans="1:6" x14ac:dyDescent="0.25">
      <c r="A47" s="3" t="s">
        <v>73</v>
      </c>
      <c r="B47" s="82" t="s">
        <v>50</v>
      </c>
      <c r="C47" s="83"/>
      <c r="D47" s="84"/>
      <c r="E47" s="89">
        <v>13846</v>
      </c>
      <c r="F47" s="90"/>
    </row>
    <row r="48" spans="1:6" x14ac:dyDescent="0.25">
      <c r="A48" s="3" t="s">
        <v>74</v>
      </c>
      <c r="B48" s="82" t="s">
        <v>51</v>
      </c>
      <c r="C48" s="83"/>
      <c r="D48" s="84"/>
      <c r="E48" s="89">
        <v>4930</v>
      </c>
      <c r="F48" s="90"/>
    </row>
    <row r="49" spans="1:6" x14ac:dyDescent="0.25">
      <c r="A49" s="6">
        <v>7</v>
      </c>
      <c r="B49" s="108" t="s">
        <v>53</v>
      </c>
      <c r="C49" s="109"/>
      <c r="D49" s="110"/>
      <c r="E49" s="89"/>
      <c r="F49" s="90"/>
    </row>
    <row r="50" spans="1:6" ht="30" customHeight="1" x14ac:dyDescent="0.25">
      <c r="A50" s="3" t="s">
        <v>75</v>
      </c>
      <c r="B50" s="97" t="s">
        <v>116</v>
      </c>
      <c r="C50" s="98"/>
      <c r="D50" s="99"/>
      <c r="E50" s="89">
        <v>46080</v>
      </c>
      <c r="F50" s="90"/>
    </row>
    <row r="51" spans="1:6" x14ac:dyDescent="0.25">
      <c r="A51" s="3" t="s">
        <v>76</v>
      </c>
      <c r="B51" s="97" t="s">
        <v>117</v>
      </c>
      <c r="C51" s="98"/>
      <c r="D51" s="99"/>
      <c r="E51" s="89">
        <v>2300</v>
      </c>
      <c r="F51" s="90"/>
    </row>
    <row r="52" spans="1:6" x14ac:dyDescent="0.25">
      <c r="A52" s="3" t="s">
        <v>77</v>
      </c>
      <c r="B52" s="97" t="s">
        <v>118</v>
      </c>
      <c r="C52" s="98"/>
      <c r="D52" s="99"/>
      <c r="E52" s="89">
        <v>320</v>
      </c>
      <c r="F52" s="90"/>
    </row>
    <row r="53" spans="1:6" x14ac:dyDescent="0.25">
      <c r="A53" s="3"/>
      <c r="B53" s="115" t="s">
        <v>20</v>
      </c>
      <c r="C53" s="116"/>
      <c r="D53" s="117"/>
      <c r="E53" s="106">
        <f>SUM(E28:F52)</f>
        <v>352569.63300000003</v>
      </c>
      <c r="F53" s="107"/>
    </row>
    <row r="54" spans="1:6" ht="30" customHeight="1" x14ac:dyDescent="0.25">
      <c r="A54" s="3" t="s">
        <v>119</v>
      </c>
      <c r="B54" s="108" t="s">
        <v>52</v>
      </c>
      <c r="C54" s="109"/>
      <c r="D54" s="110"/>
      <c r="E54" s="89"/>
      <c r="F54" s="90"/>
    </row>
    <row r="55" spans="1:6" ht="30" customHeight="1" x14ac:dyDescent="0.25">
      <c r="A55" s="3" t="s">
        <v>78</v>
      </c>
      <c r="B55" s="111" t="s">
        <v>120</v>
      </c>
      <c r="C55" s="112"/>
      <c r="D55" s="113"/>
      <c r="E55" s="89"/>
      <c r="F55" s="90"/>
    </row>
    <row r="56" spans="1:6" x14ac:dyDescent="0.25">
      <c r="A56" s="3" t="s">
        <v>121</v>
      </c>
      <c r="B56" s="82" t="s">
        <v>83</v>
      </c>
      <c r="C56" s="83"/>
      <c r="D56" s="84"/>
      <c r="E56" s="89">
        <v>91.88</v>
      </c>
      <c r="F56" s="90"/>
    </row>
    <row r="57" spans="1:6" x14ac:dyDescent="0.25">
      <c r="A57" s="3" t="s">
        <v>122</v>
      </c>
      <c r="B57" s="82" t="s">
        <v>84</v>
      </c>
      <c r="C57" s="83"/>
      <c r="D57" s="84"/>
      <c r="E57" s="89">
        <v>119.74</v>
      </c>
      <c r="F57" s="90"/>
    </row>
    <row r="58" spans="1:6" ht="30" customHeight="1" x14ac:dyDescent="0.25">
      <c r="A58" s="3" t="s">
        <v>79</v>
      </c>
      <c r="B58" s="127" t="s">
        <v>123</v>
      </c>
      <c r="C58" s="128"/>
      <c r="D58" s="129"/>
      <c r="E58" s="89"/>
      <c r="F58" s="90"/>
    </row>
    <row r="59" spans="1:6" x14ac:dyDescent="0.25">
      <c r="A59" s="3" t="s">
        <v>124</v>
      </c>
      <c r="B59" s="82" t="s">
        <v>94</v>
      </c>
      <c r="C59" s="83"/>
      <c r="D59" s="84"/>
      <c r="E59" s="89">
        <v>789.96</v>
      </c>
      <c r="F59" s="90"/>
    </row>
    <row r="60" spans="1:6" x14ac:dyDescent="0.25">
      <c r="A60" s="3" t="s">
        <v>125</v>
      </c>
      <c r="B60" s="82" t="s">
        <v>95</v>
      </c>
      <c r="C60" s="83"/>
      <c r="D60" s="84"/>
      <c r="E60" s="89">
        <v>354.2</v>
      </c>
      <c r="F60" s="90"/>
    </row>
    <row r="61" spans="1:6" ht="30" customHeight="1" x14ac:dyDescent="0.25">
      <c r="A61" s="3" t="s">
        <v>80</v>
      </c>
      <c r="B61" s="127" t="s">
        <v>126</v>
      </c>
      <c r="C61" s="128"/>
      <c r="D61" s="129"/>
      <c r="E61" s="89"/>
      <c r="F61" s="90"/>
    </row>
    <row r="62" spans="1:6" x14ac:dyDescent="0.25">
      <c r="A62" s="3" t="s">
        <v>127</v>
      </c>
      <c r="B62" s="82" t="s">
        <v>96</v>
      </c>
      <c r="C62" s="83"/>
      <c r="D62" s="84"/>
      <c r="E62" s="87">
        <v>1468.04</v>
      </c>
      <c r="F62" s="88"/>
    </row>
    <row r="63" spans="1:6" x14ac:dyDescent="0.25">
      <c r="A63" s="3" t="s">
        <v>128</v>
      </c>
      <c r="B63" s="97" t="s">
        <v>86</v>
      </c>
      <c r="C63" s="98"/>
      <c r="D63" s="99"/>
      <c r="E63" s="89">
        <v>235.52</v>
      </c>
      <c r="F63" s="90"/>
    </row>
    <row r="64" spans="1:6" x14ac:dyDescent="0.25">
      <c r="A64" s="3" t="s">
        <v>129</v>
      </c>
      <c r="B64" s="97" t="s">
        <v>132</v>
      </c>
      <c r="C64" s="98"/>
      <c r="D64" s="99"/>
      <c r="E64" s="89">
        <v>188.12</v>
      </c>
      <c r="F64" s="90"/>
    </row>
    <row r="65" spans="1:6" x14ac:dyDescent="0.25">
      <c r="A65" s="3" t="s">
        <v>130</v>
      </c>
      <c r="B65" s="97" t="s">
        <v>87</v>
      </c>
      <c r="C65" s="98"/>
      <c r="D65" s="99"/>
      <c r="E65" s="89">
        <v>228.75</v>
      </c>
      <c r="F65" s="90"/>
    </row>
    <row r="66" spans="1:6" x14ac:dyDescent="0.25">
      <c r="A66" s="3" t="s">
        <v>131</v>
      </c>
      <c r="B66" s="97" t="s">
        <v>133</v>
      </c>
      <c r="C66" s="98"/>
      <c r="D66" s="99"/>
      <c r="E66" s="89">
        <v>667.75</v>
      </c>
      <c r="F66" s="90"/>
    </row>
    <row r="67" spans="1:6" x14ac:dyDescent="0.25">
      <c r="A67" s="3" t="s">
        <v>81</v>
      </c>
      <c r="B67" s="100" t="s">
        <v>85</v>
      </c>
      <c r="C67" s="101"/>
      <c r="D67" s="102"/>
      <c r="E67" s="89">
        <v>24954</v>
      </c>
      <c r="F67" s="90"/>
    </row>
    <row r="68" spans="1:6" x14ac:dyDescent="0.25">
      <c r="A68" s="3"/>
      <c r="B68" s="124" t="s">
        <v>20</v>
      </c>
      <c r="C68" s="125"/>
      <c r="D68" s="126"/>
      <c r="E68" s="85">
        <f>SUM(E54:F67)</f>
        <v>29097.96</v>
      </c>
      <c r="F68" s="86"/>
    </row>
    <row r="69" spans="1:6" x14ac:dyDescent="0.25">
      <c r="A69" s="103" t="s">
        <v>54</v>
      </c>
      <c r="B69" s="104"/>
      <c r="C69" s="104"/>
      <c r="D69" s="105"/>
      <c r="E69" s="85"/>
      <c r="F69" s="86"/>
    </row>
    <row r="70" spans="1:6" ht="45" customHeight="1" x14ac:dyDescent="0.25">
      <c r="A70" s="6">
        <v>9</v>
      </c>
      <c r="B70" s="91" t="s">
        <v>134</v>
      </c>
      <c r="C70" s="92"/>
      <c r="D70" s="93"/>
      <c r="E70" s="89">
        <v>58020</v>
      </c>
      <c r="F70" s="90"/>
    </row>
    <row r="71" spans="1:6" x14ac:dyDescent="0.25">
      <c r="A71" s="94" t="s">
        <v>55</v>
      </c>
      <c r="B71" s="95"/>
      <c r="C71" s="95"/>
      <c r="D71" s="96"/>
      <c r="E71" s="85"/>
      <c r="F71" s="86"/>
    </row>
    <row r="72" spans="1:6" x14ac:dyDescent="0.25">
      <c r="A72" s="6">
        <v>10</v>
      </c>
      <c r="B72" s="97" t="s">
        <v>135</v>
      </c>
      <c r="C72" s="98"/>
      <c r="D72" s="99"/>
      <c r="E72" s="89">
        <v>3016.489</v>
      </c>
      <c r="F72" s="90"/>
    </row>
    <row r="73" spans="1:6" x14ac:dyDescent="0.25">
      <c r="A73" s="3" t="s">
        <v>82</v>
      </c>
      <c r="B73" s="91" t="s">
        <v>136</v>
      </c>
      <c r="C73" s="92"/>
      <c r="D73" s="93"/>
      <c r="E73" s="89">
        <v>9560.6790000000001</v>
      </c>
      <c r="F73" s="90"/>
    </row>
    <row r="74" spans="1:6" ht="15" customHeight="1" x14ac:dyDescent="0.25">
      <c r="A74" s="94" t="s">
        <v>137</v>
      </c>
      <c r="B74" s="95"/>
      <c r="C74" s="95"/>
      <c r="D74" s="96"/>
      <c r="E74" s="89"/>
      <c r="F74" s="90"/>
    </row>
    <row r="75" spans="1:6" x14ac:dyDescent="0.25">
      <c r="A75" s="6">
        <v>11</v>
      </c>
      <c r="B75" s="91" t="s">
        <v>56</v>
      </c>
      <c r="C75" s="92"/>
      <c r="D75" s="93"/>
      <c r="E75" s="89">
        <v>22553.339</v>
      </c>
      <c r="F75" s="90"/>
    </row>
    <row r="76" spans="1:6" x14ac:dyDescent="0.25">
      <c r="A76" s="6"/>
      <c r="B76" s="82"/>
      <c r="C76" s="83"/>
      <c r="D76" s="84"/>
      <c r="E76" s="87"/>
      <c r="F76" s="88"/>
    </row>
    <row r="77" spans="1:6" x14ac:dyDescent="0.25">
      <c r="A77" s="94" t="s">
        <v>138</v>
      </c>
      <c r="B77" s="95"/>
      <c r="C77" s="95"/>
      <c r="D77" s="96"/>
      <c r="E77" s="85"/>
      <c r="F77" s="86"/>
    </row>
    <row r="78" spans="1:6" x14ac:dyDescent="0.25">
      <c r="A78" s="6">
        <v>12</v>
      </c>
      <c r="B78" s="97" t="s">
        <v>139</v>
      </c>
      <c r="C78" s="98"/>
      <c r="D78" s="99"/>
      <c r="E78" s="89">
        <v>6751.9</v>
      </c>
      <c r="F78" s="90"/>
    </row>
    <row r="79" spans="1:6" ht="15" customHeight="1" x14ac:dyDescent="0.25">
      <c r="A79" s="6">
        <v>13</v>
      </c>
      <c r="B79" s="91" t="s">
        <v>140</v>
      </c>
      <c r="C79" s="92"/>
      <c r="D79" s="93"/>
      <c r="E79" s="89">
        <v>920</v>
      </c>
      <c r="F79" s="90"/>
    </row>
    <row r="80" spans="1:6" x14ac:dyDescent="0.25">
      <c r="A80" s="94" t="s">
        <v>149</v>
      </c>
      <c r="B80" s="95"/>
      <c r="C80" s="95"/>
      <c r="D80" s="96"/>
      <c r="E80" s="89"/>
      <c r="F80" s="90"/>
    </row>
    <row r="81" spans="1:8" x14ac:dyDescent="0.25">
      <c r="A81" s="6">
        <v>14</v>
      </c>
      <c r="B81" s="91" t="s">
        <v>141</v>
      </c>
      <c r="C81" s="92"/>
      <c r="D81" s="93"/>
      <c r="E81" s="89">
        <v>7510</v>
      </c>
      <c r="F81" s="90"/>
    </row>
    <row r="82" spans="1:8" x14ac:dyDescent="0.25">
      <c r="A82" s="3"/>
      <c r="B82" s="115" t="s">
        <v>20</v>
      </c>
      <c r="C82" s="116"/>
      <c r="D82" s="117"/>
      <c r="E82" s="85">
        <f>SUM(E69:F81)</f>
        <v>108332.40700000001</v>
      </c>
      <c r="F82" s="86"/>
    </row>
    <row r="83" spans="1:8" x14ac:dyDescent="0.25">
      <c r="A83" s="3"/>
      <c r="B83" s="115" t="s">
        <v>150</v>
      </c>
      <c r="C83" s="116"/>
      <c r="D83" s="117"/>
      <c r="E83" s="114">
        <f>SUM(E69:F81)+E68+E53</f>
        <v>490000</v>
      </c>
      <c r="F83" s="114"/>
    </row>
    <row r="84" spans="1:8" x14ac:dyDescent="0.25">
      <c r="A84" s="3"/>
      <c r="B84" s="123" t="s">
        <v>90</v>
      </c>
      <c r="C84" s="97" t="s">
        <v>12</v>
      </c>
      <c r="D84" s="99"/>
      <c r="E84" s="114">
        <f>E53+E82</f>
        <v>460902.04000000004</v>
      </c>
      <c r="F84" s="114"/>
    </row>
    <row r="85" spans="1:8" ht="30" customHeight="1" x14ac:dyDescent="0.25">
      <c r="A85" s="3"/>
      <c r="B85" s="123"/>
      <c r="C85" s="91" t="s">
        <v>17</v>
      </c>
      <c r="D85" s="93"/>
      <c r="E85" s="85">
        <f>E68</f>
        <v>29097.96</v>
      </c>
      <c r="F85" s="86"/>
      <c r="G85" s="9"/>
      <c r="H85" s="7"/>
    </row>
    <row r="86" spans="1:8" ht="30" customHeight="1" x14ac:dyDescent="0.25">
      <c r="A86" s="103" t="s">
        <v>142</v>
      </c>
      <c r="B86" s="104"/>
      <c r="C86" s="104"/>
      <c r="D86" s="104"/>
      <c r="E86" s="104"/>
      <c r="F86" s="105"/>
    </row>
    <row r="87" spans="1:8" x14ac:dyDescent="0.25">
      <c r="A87" s="6">
        <v>15</v>
      </c>
      <c r="B87" s="82" t="s">
        <v>143</v>
      </c>
      <c r="C87" s="83"/>
      <c r="D87" s="84"/>
      <c r="E87" s="121">
        <v>14880</v>
      </c>
      <c r="F87" s="122"/>
    </row>
    <row r="88" spans="1:8" x14ac:dyDescent="0.25">
      <c r="A88" s="6">
        <v>16</v>
      </c>
      <c r="B88" s="118" t="s">
        <v>144</v>
      </c>
      <c r="C88" s="119"/>
      <c r="D88" s="120"/>
      <c r="E88" s="121">
        <v>3200</v>
      </c>
      <c r="F88" s="122"/>
    </row>
    <row r="89" spans="1:8" x14ac:dyDescent="0.25">
      <c r="A89" s="6">
        <v>17</v>
      </c>
      <c r="B89" s="82" t="s">
        <v>145</v>
      </c>
      <c r="C89" s="83"/>
      <c r="D89" s="84"/>
      <c r="E89" s="121">
        <v>965</v>
      </c>
      <c r="F89" s="122"/>
    </row>
    <row r="90" spans="1:8" x14ac:dyDescent="0.25">
      <c r="A90" s="6">
        <v>18</v>
      </c>
      <c r="B90" s="118" t="s">
        <v>146</v>
      </c>
      <c r="C90" s="119"/>
      <c r="D90" s="120"/>
      <c r="E90" s="121">
        <v>2600</v>
      </c>
      <c r="F90" s="122"/>
    </row>
    <row r="91" spans="1:8" x14ac:dyDescent="0.25">
      <c r="A91" s="6">
        <v>19</v>
      </c>
      <c r="B91" s="82" t="s">
        <v>147</v>
      </c>
      <c r="C91" s="83"/>
      <c r="D91" s="84"/>
      <c r="E91" s="121">
        <v>1804.2270000000001</v>
      </c>
      <c r="F91" s="122"/>
    </row>
    <row r="92" spans="1:8" x14ac:dyDescent="0.25">
      <c r="A92" s="6">
        <v>20</v>
      </c>
      <c r="B92" s="118" t="s">
        <v>148</v>
      </c>
      <c r="C92" s="119"/>
      <c r="D92" s="120"/>
      <c r="E92" s="121">
        <v>21550.773000000001</v>
      </c>
      <c r="F92" s="122"/>
    </row>
    <row r="93" spans="1:8" x14ac:dyDescent="0.25">
      <c r="A93" s="136" t="s">
        <v>15</v>
      </c>
      <c r="B93" s="136"/>
      <c r="C93" s="136"/>
      <c r="D93" s="136"/>
      <c r="E93" s="143">
        <f>E83+SUM(E87:F92)</f>
        <v>535000</v>
      </c>
      <c r="F93" s="143"/>
    </row>
    <row r="94" spans="1:8" x14ac:dyDescent="0.25">
      <c r="A94" s="136" t="s">
        <v>23</v>
      </c>
      <c r="B94" s="136"/>
      <c r="C94" s="136"/>
      <c r="D94" s="136"/>
      <c r="E94" s="136"/>
      <c r="F94" s="136"/>
    </row>
    <row r="95" spans="1:8" ht="30" customHeight="1" x14ac:dyDescent="0.25">
      <c r="A95" s="6">
        <v>23</v>
      </c>
      <c r="B95" s="82" t="s">
        <v>21</v>
      </c>
      <c r="C95" s="83"/>
      <c r="D95" s="84"/>
      <c r="E95" s="133">
        <v>395220</v>
      </c>
      <c r="F95" s="134"/>
    </row>
    <row r="96" spans="1:8" ht="30" customHeight="1" x14ac:dyDescent="0.25">
      <c r="A96" s="6">
        <v>24</v>
      </c>
      <c r="B96" s="118" t="s">
        <v>22</v>
      </c>
      <c r="C96" s="119"/>
      <c r="D96" s="120"/>
      <c r="E96" s="133">
        <v>780</v>
      </c>
      <c r="F96" s="134"/>
    </row>
    <row r="97" spans="1:7" x14ac:dyDescent="0.25">
      <c r="A97" s="136" t="s">
        <v>24</v>
      </c>
      <c r="B97" s="136"/>
      <c r="C97" s="136"/>
      <c r="D97" s="136"/>
      <c r="E97" s="147">
        <f>SUM(E95:F96)</f>
        <v>396000</v>
      </c>
      <c r="F97" s="147"/>
    </row>
    <row r="98" spans="1:7" x14ac:dyDescent="0.25">
      <c r="A98" s="136" t="s">
        <v>25</v>
      </c>
      <c r="B98" s="136"/>
      <c r="C98" s="136"/>
      <c r="D98" s="136"/>
      <c r="E98" s="136"/>
      <c r="F98" s="136"/>
    </row>
    <row r="99" spans="1:7" ht="30" customHeight="1" x14ac:dyDescent="0.25">
      <c r="A99" s="6">
        <v>25</v>
      </c>
      <c r="B99" s="82" t="s">
        <v>21</v>
      </c>
      <c r="C99" s="83"/>
      <c r="D99" s="84"/>
      <c r="E99" s="133">
        <v>360220</v>
      </c>
      <c r="F99" s="134"/>
    </row>
    <row r="100" spans="1:7" ht="30" customHeight="1" x14ac:dyDescent="0.25">
      <c r="A100" s="6">
        <v>26</v>
      </c>
      <c r="B100" s="118" t="s">
        <v>22</v>
      </c>
      <c r="C100" s="119"/>
      <c r="D100" s="120"/>
      <c r="E100" s="133">
        <v>780</v>
      </c>
      <c r="F100" s="134"/>
    </row>
    <row r="101" spans="1:7" x14ac:dyDescent="0.25">
      <c r="A101" s="136" t="s">
        <v>26</v>
      </c>
      <c r="B101" s="136"/>
      <c r="C101" s="136"/>
      <c r="D101" s="136"/>
      <c r="E101" s="147">
        <f>SUM(E99:F100)</f>
        <v>361000</v>
      </c>
      <c r="F101" s="147"/>
    </row>
    <row r="102" spans="1:7" x14ac:dyDescent="0.25">
      <c r="A102" s="136" t="s">
        <v>30</v>
      </c>
      <c r="B102" s="136"/>
      <c r="C102" s="136"/>
      <c r="D102" s="136"/>
      <c r="E102" s="136"/>
      <c r="F102" s="136"/>
    </row>
    <row r="103" spans="1:7" ht="30" customHeight="1" x14ac:dyDescent="0.25">
      <c r="A103" s="6">
        <v>27</v>
      </c>
      <c r="B103" s="82" t="s">
        <v>21</v>
      </c>
      <c r="C103" s="83"/>
      <c r="D103" s="84"/>
      <c r="E103" s="133">
        <v>374870.09499999997</v>
      </c>
      <c r="F103" s="134"/>
    </row>
    <row r="104" spans="1:7" ht="30" customHeight="1" x14ac:dyDescent="0.25">
      <c r="A104" s="6">
        <v>28</v>
      </c>
      <c r="B104" s="152" t="s">
        <v>22</v>
      </c>
      <c r="C104" s="153"/>
      <c r="D104" s="154"/>
      <c r="E104" s="133">
        <v>780</v>
      </c>
      <c r="F104" s="134"/>
    </row>
    <row r="105" spans="1:7" x14ac:dyDescent="0.25">
      <c r="A105" s="136" t="s">
        <v>27</v>
      </c>
      <c r="B105" s="136"/>
      <c r="C105" s="136"/>
      <c r="D105" s="136"/>
      <c r="E105" s="147">
        <f>SUM(E103:F104)</f>
        <v>375650.09499999997</v>
      </c>
      <c r="F105" s="147"/>
    </row>
    <row r="107" spans="1:7" x14ac:dyDescent="0.25">
      <c r="A107" s="150" t="s">
        <v>28</v>
      </c>
      <c r="B107" s="150"/>
      <c r="C107" s="150"/>
      <c r="D107" s="150"/>
      <c r="E107" s="151">
        <f>(E20+E25+E93+E97+E101+E105)*1000</f>
        <v>2040312829</v>
      </c>
      <c r="F107" s="151"/>
      <c r="G107" s="8"/>
    </row>
    <row r="108" spans="1:7" x14ac:dyDescent="0.25">
      <c r="A108" s="148" t="s">
        <v>29</v>
      </c>
      <c r="B108" s="148"/>
      <c r="C108" s="148"/>
      <c r="D108" s="148"/>
      <c r="E108" s="149">
        <f>E107-((E107*100)/118)</f>
        <v>311234160.35593224</v>
      </c>
      <c r="F108" s="149"/>
    </row>
    <row r="109" spans="1:7" ht="14.25" customHeight="1" x14ac:dyDescent="0.25"/>
    <row r="110" spans="1:7" hidden="1" x14ac:dyDescent="0.25"/>
    <row r="111" spans="1:7" ht="30" customHeight="1" x14ac:dyDescent="0.25">
      <c r="A111" s="141" t="s">
        <v>31</v>
      </c>
      <c r="B111" s="141"/>
      <c r="C111" s="141"/>
      <c r="D111" s="141"/>
      <c r="E111" s="141"/>
      <c r="F111" s="141"/>
    </row>
    <row r="113" spans="2:4" x14ac:dyDescent="0.25">
      <c r="B113" s="4" t="s">
        <v>32</v>
      </c>
      <c r="C113" s="160" t="s">
        <v>33</v>
      </c>
      <c r="D113" s="160"/>
    </row>
    <row r="114" spans="2:4" x14ac:dyDescent="0.25">
      <c r="B114" s="156">
        <v>2013</v>
      </c>
      <c r="C114" s="157"/>
      <c r="D114" s="158"/>
    </row>
    <row r="115" spans="2:4" x14ac:dyDescent="0.25">
      <c r="B115" s="4" t="s">
        <v>34</v>
      </c>
      <c r="C115" s="155">
        <v>5.63</v>
      </c>
      <c r="D115" s="155"/>
    </row>
    <row r="116" spans="2:4" x14ac:dyDescent="0.25">
      <c r="B116" s="4" t="s">
        <v>35</v>
      </c>
      <c r="C116" s="155">
        <v>4.09</v>
      </c>
      <c r="D116" s="155"/>
    </row>
    <row r="117" spans="2:4" x14ac:dyDescent="0.25">
      <c r="B117" s="4" t="s">
        <v>36</v>
      </c>
      <c r="C117" s="155">
        <v>6.02</v>
      </c>
      <c r="D117" s="155"/>
    </row>
    <row r="118" spans="2:4" x14ac:dyDescent="0.25">
      <c r="B118" s="156">
        <v>2014</v>
      </c>
      <c r="C118" s="157"/>
      <c r="D118" s="158"/>
    </row>
    <row r="119" spans="2:4" x14ac:dyDescent="0.25">
      <c r="B119" s="4" t="s">
        <v>34</v>
      </c>
      <c r="C119" s="155">
        <v>6.03</v>
      </c>
      <c r="D119" s="155"/>
    </row>
    <row r="120" spans="2:4" x14ac:dyDescent="0.25">
      <c r="B120" s="4" t="s">
        <v>35</v>
      </c>
      <c r="C120" s="155">
        <v>4.38</v>
      </c>
      <c r="D120" s="155"/>
    </row>
    <row r="121" spans="2:4" x14ac:dyDescent="0.25">
      <c r="B121" s="4" t="s">
        <v>36</v>
      </c>
      <c r="C121" s="155">
        <v>6.45</v>
      </c>
      <c r="D121" s="155"/>
    </row>
    <row r="122" spans="2:4" x14ac:dyDescent="0.25">
      <c r="B122" s="156">
        <v>2015</v>
      </c>
      <c r="C122" s="157"/>
      <c r="D122" s="158"/>
    </row>
    <row r="123" spans="2:4" x14ac:dyDescent="0.25">
      <c r="B123" s="4" t="s">
        <v>34</v>
      </c>
      <c r="C123" s="155">
        <v>6.44</v>
      </c>
      <c r="D123" s="155"/>
    </row>
    <row r="124" spans="2:4" x14ac:dyDescent="0.25">
      <c r="B124" s="4" t="s">
        <v>35</v>
      </c>
      <c r="C124" s="155">
        <v>4.68</v>
      </c>
      <c r="D124" s="155"/>
    </row>
    <row r="125" spans="2:4" x14ac:dyDescent="0.25">
      <c r="B125" s="4" t="s">
        <v>36</v>
      </c>
      <c r="C125" s="155">
        <v>6.88</v>
      </c>
      <c r="D125" s="155"/>
    </row>
    <row r="126" spans="2:4" x14ac:dyDescent="0.25">
      <c r="B126" s="156">
        <v>2016</v>
      </c>
      <c r="C126" s="157"/>
      <c r="D126" s="158"/>
    </row>
    <row r="127" spans="2:4" x14ac:dyDescent="0.25">
      <c r="B127" s="4" t="s">
        <v>34</v>
      </c>
      <c r="C127" s="155">
        <v>6.83</v>
      </c>
      <c r="D127" s="155"/>
    </row>
    <row r="128" spans="2:4" x14ac:dyDescent="0.25">
      <c r="B128" s="4" t="s">
        <v>35</v>
      </c>
      <c r="C128" s="155">
        <v>4.96</v>
      </c>
      <c r="D128" s="155"/>
    </row>
    <row r="129" spans="1:6" x14ac:dyDescent="0.25">
      <c r="B129" s="4" t="s">
        <v>36</v>
      </c>
      <c r="C129" s="155">
        <v>7.3</v>
      </c>
      <c r="D129" s="155"/>
    </row>
    <row r="130" spans="1:6" x14ac:dyDescent="0.25">
      <c r="B130" s="156">
        <v>2017</v>
      </c>
      <c r="C130" s="157"/>
      <c r="D130" s="158"/>
    </row>
    <row r="131" spans="1:6" x14ac:dyDescent="0.25">
      <c r="B131" s="4" t="s">
        <v>34</v>
      </c>
      <c r="C131" s="155">
        <v>7.18</v>
      </c>
      <c r="D131" s="155"/>
    </row>
    <row r="132" spans="1:6" x14ac:dyDescent="0.25">
      <c r="B132" s="4" t="s">
        <v>35</v>
      </c>
      <c r="C132" s="155">
        <v>5.22</v>
      </c>
      <c r="D132" s="155"/>
    </row>
    <row r="133" spans="1:6" x14ac:dyDescent="0.25">
      <c r="B133" s="4" t="s">
        <v>36</v>
      </c>
      <c r="C133" s="155">
        <v>7.68</v>
      </c>
      <c r="D133" s="155"/>
    </row>
    <row r="135" spans="1:6" x14ac:dyDescent="0.25">
      <c r="A135" s="159" t="s">
        <v>37</v>
      </c>
      <c r="B135" s="159"/>
      <c r="C135" s="159"/>
      <c r="D135" s="159"/>
      <c r="E135" s="159"/>
      <c r="F135" s="159"/>
    </row>
    <row r="136" spans="1:6" hidden="1" x14ac:dyDescent="0.25"/>
    <row r="137" spans="1:6" x14ac:dyDescent="0.25">
      <c r="A137" s="139" t="s">
        <v>38</v>
      </c>
      <c r="B137" s="139"/>
      <c r="C137" s="139"/>
      <c r="D137" s="139"/>
      <c r="E137" s="139"/>
      <c r="F137" s="139"/>
    </row>
    <row r="138" spans="1:6" x14ac:dyDescent="0.25">
      <c r="A138" s="139" t="s">
        <v>39</v>
      </c>
      <c r="B138" s="139"/>
      <c r="C138" s="139"/>
      <c r="D138" s="139"/>
      <c r="E138" s="139"/>
      <c r="F138" s="139"/>
    </row>
    <row r="139" spans="1:6" x14ac:dyDescent="0.25">
      <c r="A139" s="139" t="s">
        <v>40</v>
      </c>
      <c r="B139" s="139"/>
      <c r="C139" s="139"/>
      <c r="D139" s="139"/>
      <c r="E139" s="139"/>
      <c r="F139" s="139"/>
    </row>
    <row r="140" spans="1:6" x14ac:dyDescent="0.25">
      <c r="A140" s="139" t="s">
        <v>41</v>
      </c>
      <c r="B140" s="139"/>
      <c r="C140" s="139"/>
      <c r="D140" s="139"/>
      <c r="E140" s="139"/>
      <c r="F140" s="139"/>
    </row>
    <row r="141" spans="1:6" x14ac:dyDescent="0.25">
      <c r="A141" s="139" t="s">
        <v>42</v>
      </c>
      <c r="B141" s="139"/>
      <c r="C141" s="139"/>
      <c r="D141" s="139"/>
      <c r="E141" s="139"/>
      <c r="F141" s="139"/>
    </row>
    <row r="142" spans="1:6" x14ac:dyDescent="0.25">
      <c r="A142" s="139" t="s">
        <v>43</v>
      </c>
      <c r="B142" s="139"/>
      <c r="C142" s="139"/>
      <c r="D142" s="139"/>
      <c r="E142" s="139"/>
      <c r="F142" s="139"/>
    </row>
    <row r="144" spans="1:6" ht="15" customHeight="1" x14ac:dyDescent="0.25">
      <c r="D144" s="5" t="s">
        <v>45</v>
      </c>
      <c r="E144" s="139" t="s">
        <v>44</v>
      </c>
      <c r="F144" s="139"/>
    </row>
    <row r="145" spans="1:6" hidden="1" x14ac:dyDescent="0.25"/>
    <row r="146" spans="1:6" x14ac:dyDescent="0.25">
      <c r="A146" s="139" t="s">
        <v>46</v>
      </c>
      <c r="B146" s="139"/>
      <c r="C146" s="139"/>
      <c r="D146" s="139"/>
      <c r="E146" s="139"/>
      <c r="F146" s="139"/>
    </row>
    <row r="147" spans="1:6" x14ac:dyDescent="0.25">
      <c r="A147" s="138" t="s">
        <v>47</v>
      </c>
      <c r="B147" s="138"/>
      <c r="C147" s="138"/>
      <c r="D147" s="138"/>
      <c r="E147" s="138"/>
      <c r="F147" s="138"/>
    </row>
    <row r="148" spans="1:6" x14ac:dyDescent="0.25">
      <c r="A148" s="139" t="s">
        <v>48</v>
      </c>
      <c r="B148" s="139"/>
      <c r="C148" s="139"/>
      <c r="D148" s="139"/>
      <c r="E148" s="139"/>
      <c r="F148" s="139"/>
    </row>
    <row r="149" spans="1:6" ht="30" x14ac:dyDescent="0.25">
      <c r="D149" s="5" t="s">
        <v>45</v>
      </c>
      <c r="E149" s="141" t="s">
        <v>49</v>
      </c>
      <c r="F149" s="141"/>
    </row>
  </sheetData>
  <mergeCells count="221">
    <mergeCell ref="E31:F31"/>
    <mergeCell ref="B28:D28"/>
    <mergeCell ref="B29:D29"/>
    <mergeCell ref="B35:D35"/>
    <mergeCell ref="A135:F135"/>
    <mergeCell ref="A137:F137"/>
    <mergeCell ref="A138:F138"/>
    <mergeCell ref="A139:F139"/>
    <mergeCell ref="A148:F148"/>
    <mergeCell ref="C119:D119"/>
    <mergeCell ref="A105:D105"/>
    <mergeCell ref="E95:F95"/>
    <mergeCell ref="E96:F96"/>
    <mergeCell ref="E99:F99"/>
    <mergeCell ref="E100:F100"/>
    <mergeCell ref="C113:D113"/>
    <mergeCell ref="C131:D131"/>
    <mergeCell ref="C132:D132"/>
    <mergeCell ref="A94:F94"/>
    <mergeCell ref="A111:F111"/>
    <mergeCell ref="E104:F104"/>
    <mergeCell ref="B95:D95"/>
    <mergeCell ref="B96:D96"/>
    <mergeCell ref="A102:F102"/>
    <mergeCell ref="E149:F149"/>
    <mergeCell ref="A140:F140"/>
    <mergeCell ref="A141:F141"/>
    <mergeCell ref="A142:F142"/>
    <mergeCell ref="E144:F144"/>
    <mergeCell ref="A146:F146"/>
    <mergeCell ref="A147:F147"/>
    <mergeCell ref="C133:D133"/>
    <mergeCell ref="B114:D114"/>
    <mergeCell ref="B118:D118"/>
    <mergeCell ref="B122:D122"/>
    <mergeCell ref="B126:D126"/>
    <mergeCell ref="B130:D130"/>
    <mergeCell ref="C127:D127"/>
    <mergeCell ref="C128:D128"/>
    <mergeCell ref="C129:D129"/>
    <mergeCell ref="C123:D123"/>
    <mergeCell ref="C124:D124"/>
    <mergeCell ref="C125:D125"/>
    <mergeCell ref="C120:D120"/>
    <mergeCell ref="C121:D121"/>
    <mergeCell ref="C115:D115"/>
    <mergeCell ref="C116:D116"/>
    <mergeCell ref="C117:D117"/>
    <mergeCell ref="E105:F105"/>
    <mergeCell ref="A108:D108"/>
    <mergeCell ref="E108:F108"/>
    <mergeCell ref="A97:D97"/>
    <mergeCell ref="E97:F97"/>
    <mergeCell ref="A98:F98"/>
    <mergeCell ref="A101:D101"/>
    <mergeCell ref="E101:F101"/>
    <mergeCell ref="B99:D99"/>
    <mergeCell ref="B100:D100"/>
    <mergeCell ref="A107:D107"/>
    <mergeCell ref="E107:F107"/>
    <mergeCell ref="E103:F103"/>
    <mergeCell ref="B103:D103"/>
    <mergeCell ref="B104:D104"/>
    <mergeCell ref="E22:F22"/>
    <mergeCell ref="C16:D16"/>
    <mergeCell ref="E16:F16"/>
    <mergeCell ref="E18:F18"/>
    <mergeCell ref="E19:F19"/>
    <mergeCell ref="A17:F17"/>
    <mergeCell ref="A21:F21"/>
    <mergeCell ref="A93:D93"/>
    <mergeCell ref="E93:F93"/>
    <mergeCell ref="B18:D18"/>
    <mergeCell ref="B19:D19"/>
    <mergeCell ref="A20:D20"/>
    <mergeCell ref="E20:F20"/>
    <mergeCell ref="B22:D22"/>
    <mergeCell ref="B23:D23"/>
    <mergeCell ref="A25:D25"/>
    <mergeCell ref="E25:F25"/>
    <mergeCell ref="E23:F23"/>
    <mergeCell ref="B36:D36"/>
    <mergeCell ref="B37:D37"/>
    <mergeCell ref="B38:D38"/>
    <mergeCell ref="B32:D32"/>
    <mergeCell ref="B33:D33"/>
    <mergeCell ref="B34:D34"/>
    <mergeCell ref="C15:D15"/>
    <mergeCell ref="D1:F1"/>
    <mergeCell ref="D2:F2"/>
    <mergeCell ref="D3:F3"/>
    <mergeCell ref="D4:F4"/>
    <mergeCell ref="A13:F13"/>
    <mergeCell ref="A10:F10"/>
    <mergeCell ref="A11:F11"/>
    <mergeCell ref="A12:F12"/>
    <mergeCell ref="E15:F15"/>
    <mergeCell ref="B24:D24"/>
    <mergeCell ref="E24:F24"/>
    <mergeCell ref="B41:D41"/>
    <mergeCell ref="B42:D42"/>
    <mergeCell ref="B43:D43"/>
    <mergeCell ref="B44:D44"/>
    <mergeCell ref="E38:F38"/>
    <mergeCell ref="E37:F37"/>
    <mergeCell ref="B40:D40"/>
    <mergeCell ref="E44:F44"/>
    <mergeCell ref="E43:F43"/>
    <mergeCell ref="E42:F42"/>
    <mergeCell ref="E41:F41"/>
    <mergeCell ref="E32:F32"/>
    <mergeCell ref="E35:F35"/>
    <mergeCell ref="E34:F34"/>
    <mergeCell ref="E36:F36"/>
    <mergeCell ref="A27:F27"/>
    <mergeCell ref="B31:D31"/>
    <mergeCell ref="A26:F26"/>
    <mergeCell ref="B39:D39"/>
    <mergeCell ref="E33:F33"/>
    <mergeCell ref="E40:F40"/>
    <mergeCell ref="E39:F39"/>
    <mergeCell ref="B56:D56"/>
    <mergeCell ref="B57:D57"/>
    <mergeCell ref="B58:D58"/>
    <mergeCell ref="B59:D59"/>
    <mergeCell ref="B60:D60"/>
    <mergeCell ref="B61:D61"/>
    <mergeCell ref="B62:D62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84:B85"/>
    <mergeCell ref="B83:D83"/>
    <mergeCell ref="E45:F45"/>
    <mergeCell ref="E62:F62"/>
    <mergeCell ref="E61:F61"/>
    <mergeCell ref="E60:F60"/>
    <mergeCell ref="E59:F59"/>
    <mergeCell ref="E58:F58"/>
    <mergeCell ref="E57:F57"/>
    <mergeCell ref="E56:F56"/>
    <mergeCell ref="E55:F55"/>
    <mergeCell ref="E54:F54"/>
    <mergeCell ref="E46:F46"/>
    <mergeCell ref="B63:D63"/>
    <mergeCell ref="B64:D64"/>
    <mergeCell ref="B65:D65"/>
    <mergeCell ref="B66:D66"/>
    <mergeCell ref="B68:D68"/>
    <mergeCell ref="E68:F68"/>
    <mergeCell ref="E66:F66"/>
    <mergeCell ref="E65:F65"/>
    <mergeCell ref="E67:F67"/>
    <mergeCell ref="E64:F64"/>
    <mergeCell ref="E63:F63"/>
    <mergeCell ref="B92:D92"/>
    <mergeCell ref="E87:F87"/>
    <mergeCell ref="E88:F88"/>
    <mergeCell ref="B87:D87"/>
    <mergeCell ref="B88:D88"/>
    <mergeCell ref="E89:F89"/>
    <mergeCell ref="E90:F90"/>
    <mergeCell ref="E91:F91"/>
    <mergeCell ref="E92:F92"/>
    <mergeCell ref="B89:D89"/>
    <mergeCell ref="B91:D91"/>
    <mergeCell ref="B90:D90"/>
    <mergeCell ref="A86:F86"/>
    <mergeCell ref="E84:F84"/>
    <mergeCell ref="A71:D71"/>
    <mergeCell ref="B70:D70"/>
    <mergeCell ref="B72:D72"/>
    <mergeCell ref="B73:D73"/>
    <mergeCell ref="B75:D75"/>
    <mergeCell ref="B76:D76"/>
    <mergeCell ref="E80:F80"/>
    <mergeCell ref="E70:F70"/>
    <mergeCell ref="E72:F72"/>
    <mergeCell ref="E83:F83"/>
    <mergeCell ref="E77:F77"/>
    <mergeCell ref="E73:F73"/>
    <mergeCell ref="E74:F74"/>
    <mergeCell ref="E75:F75"/>
    <mergeCell ref="E76:F76"/>
    <mergeCell ref="E78:F78"/>
    <mergeCell ref="E71:F71"/>
    <mergeCell ref="C84:D84"/>
    <mergeCell ref="C85:D85"/>
    <mergeCell ref="E85:F85"/>
    <mergeCell ref="B82:D82"/>
    <mergeCell ref="E82:F82"/>
    <mergeCell ref="B30:D30"/>
    <mergeCell ref="E28:F28"/>
    <mergeCell ref="E29:F29"/>
    <mergeCell ref="E81:F81"/>
    <mergeCell ref="B81:D81"/>
    <mergeCell ref="E79:F79"/>
    <mergeCell ref="A77:D77"/>
    <mergeCell ref="B78:D78"/>
    <mergeCell ref="E30:F30"/>
    <mergeCell ref="E69:F69"/>
    <mergeCell ref="A80:D80"/>
    <mergeCell ref="A74:D74"/>
    <mergeCell ref="B67:D67"/>
    <mergeCell ref="B79:D79"/>
    <mergeCell ref="A69:D69"/>
    <mergeCell ref="E53:F53"/>
    <mergeCell ref="E52:F52"/>
    <mergeCell ref="E51:F51"/>
    <mergeCell ref="E50:F50"/>
    <mergeCell ref="E49:F49"/>
    <mergeCell ref="E48:F48"/>
    <mergeCell ref="E47:F47"/>
    <mergeCell ref="B54:D54"/>
    <mergeCell ref="B55:D55"/>
  </mergeCells>
  <phoneticPr fontId="4" type="noConversion"/>
  <pageMargins left="0.75" right="0.75" top="1" bottom="1" header="0.5" footer="0.5"/>
  <pageSetup paperSize="9" orientation="portrait" r:id="rId1"/>
  <headerFooter alignWithMargins="0"/>
  <ignoredErrors>
    <ignoredError sqref="A4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view="pageBreakPreview" topLeftCell="A60" zoomScale="130" zoomScaleNormal="100" zoomScaleSheetLayoutView="130" workbookViewId="0">
      <selection activeCell="E88" sqref="E88:F88"/>
    </sheetView>
  </sheetViews>
  <sheetFormatPr defaultColWidth="9.140625" defaultRowHeight="15" x14ac:dyDescent="0.25"/>
  <cols>
    <col min="1" max="1" width="5.5703125" style="25" customWidth="1"/>
    <col min="2" max="2" width="22" style="25" customWidth="1"/>
    <col min="3" max="3" width="27.7109375" style="25" customWidth="1"/>
    <col min="4" max="4" width="20.42578125" style="25" customWidth="1"/>
    <col min="5" max="5" width="10.42578125" style="25" customWidth="1"/>
    <col min="6" max="6" width="9.28515625" style="25" customWidth="1"/>
    <col min="7" max="7" width="12.85546875" style="25" customWidth="1"/>
    <col min="8" max="8" width="21.28515625" style="25" customWidth="1"/>
    <col min="9" max="9" width="9.140625" style="25"/>
    <col min="10" max="10" width="13.7109375" style="25" customWidth="1"/>
    <col min="11" max="16384" width="9.140625" style="25"/>
  </cols>
  <sheetData>
    <row r="1" spans="1:7" x14ac:dyDescent="0.25">
      <c r="C1" s="17"/>
      <c r="D1" s="229" t="s">
        <v>0</v>
      </c>
      <c r="E1" s="229"/>
      <c r="F1" s="229"/>
      <c r="G1" s="26"/>
    </row>
    <row r="2" spans="1:7" x14ac:dyDescent="0.25">
      <c r="C2" s="17"/>
      <c r="D2" s="229" t="s">
        <v>157</v>
      </c>
      <c r="E2" s="229"/>
      <c r="F2" s="229"/>
    </row>
    <row r="3" spans="1:7" x14ac:dyDescent="0.25">
      <c r="C3" s="17"/>
      <c r="D3" s="229" t="s">
        <v>154</v>
      </c>
      <c r="E3" s="229"/>
      <c r="F3" s="229"/>
      <c r="G3" s="26"/>
    </row>
    <row r="4" spans="1:7" x14ac:dyDescent="0.25">
      <c r="C4" s="229" t="s">
        <v>187</v>
      </c>
      <c r="D4" s="229"/>
      <c r="E4" s="229"/>
      <c r="F4" s="229"/>
    </row>
    <row r="6" spans="1:7" hidden="1" x14ac:dyDescent="0.25"/>
    <row r="7" spans="1:7" x14ac:dyDescent="0.25">
      <c r="A7" s="141" t="s">
        <v>2</v>
      </c>
      <c r="B7" s="141"/>
      <c r="C7" s="141"/>
      <c r="D7" s="141"/>
      <c r="E7" s="141"/>
      <c r="F7" s="141"/>
    </row>
    <row r="8" spans="1:7" x14ac:dyDescent="0.25">
      <c r="A8" s="141" t="s">
        <v>3</v>
      </c>
      <c r="B8" s="141"/>
      <c r="C8" s="141"/>
      <c r="D8" s="141"/>
      <c r="E8" s="141"/>
      <c r="F8" s="141"/>
    </row>
    <row r="9" spans="1:7" x14ac:dyDescent="0.25">
      <c r="A9" s="141" t="s">
        <v>156</v>
      </c>
      <c r="B9" s="141"/>
      <c r="C9" s="141"/>
      <c r="D9" s="141"/>
      <c r="E9" s="141"/>
      <c r="F9" s="141"/>
    </row>
    <row r="10" spans="1:7" ht="16.5" customHeight="1" x14ac:dyDescent="0.25">
      <c r="A10" s="140" t="s">
        <v>155</v>
      </c>
      <c r="B10" s="140"/>
      <c r="C10" s="140"/>
      <c r="D10" s="140"/>
      <c r="E10" s="140"/>
      <c r="F10" s="140"/>
    </row>
    <row r="11" spans="1:7" ht="9" customHeight="1" x14ac:dyDescent="0.25"/>
    <row r="12" spans="1:7" ht="43.5" customHeight="1" x14ac:dyDescent="0.25">
      <c r="A12" s="24" t="s">
        <v>5</v>
      </c>
      <c r="B12" s="225" t="s">
        <v>7</v>
      </c>
      <c r="C12" s="226"/>
      <c r="D12" s="227"/>
      <c r="E12" s="137" t="s">
        <v>8</v>
      </c>
      <c r="F12" s="137"/>
    </row>
    <row r="13" spans="1:7" ht="13.5" customHeight="1" x14ac:dyDescent="0.25">
      <c r="A13" s="28">
        <v>1</v>
      </c>
      <c r="B13" s="228">
        <v>2</v>
      </c>
      <c r="C13" s="131"/>
      <c r="D13" s="132"/>
      <c r="E13" s="228">
        <v>3</v>
      </c>
      <c r="F13" s="132"/>
    </row>
    <row r="14" spans="1:7" ht="13.5" customHeight="1" x14ac:dyDescent="0.25">
      <c r="A14" s="136" t="s">
        <v>16</v>
      </c>
      <c r="B14" s="136"/>
      <c r="C14" s="136"/>
      <c r="D14" s="136"/>
      <c r="E14" s="136"/>
      <c r="F14" s="136"/>
    </row>
    <row r="15" spans="1:7" x14ac:dyDescent="0.25">
      <c r="A15" s="28">
        <v>1</v>
      </c>
      <c r="B15" s="82" t="s">
        <v>12</v>
      </c>
      <c r="C15" s="83"/>
      <c r="D15" s="84"/>
      <c r="E15" s="133">
        <v>131675.818</v>
      </c>
      <c r="F15" s="134"/>
    </row>
    <row r="16" spans="1:7" x14ac:dyDescent="0.25">
      <c r="A16" s="124" t="s">
        <v>18</v>
      </c>
      <c r="B16" s="125"/>
      <c r="C16" s="125"/>
      <c r="D16" s="125"/>
      <c r="E16" s="144">
        <f>SUM(E15:F15)</f>
        <v>131675.818</v>
      </c>
      <c r="F16" s="145"/>
    </row>
    <row r="17" spans="1:8" x14ac:dyDescent="0.25">
      <c r="A17" s="136" t="s">
        <v>19</v>
      </c>
      <c r="B17" s="136"/>
      <c r="C17" s="136"/>
      <c r="D17" s="136"/>
      <c r="E17" s="136"/>
      <c r="F17" s="136"/>
    </row>
    <row r="18" spans="1:8" ht="15" customHeight="1" x14ac:dyDescent="0.25">
      <c r="A18" s="6">
        <v>2</v>
      </c>
      <c r="B18" s="146" t="s">
        <v>12</v>
      </c>
      <c r="C18" s="146"/>
      <c r="D18" s="146"/>
      <c r="E18" s="142">
        <v>94324.182000000001</v>
      </c>
      <c r="F18" s="142"/>
    </row>
    <row r="19" spans="1:8" x14ac:dyDescent="0.25">
      <c r="A19" s="136" t="s">
        <v>13</v>
      </c>
      <c r="B19" s="136"/>
      <c r="C19" s="136"/>
      <c r="D19" s="136"/>
      <c r="E19" s="147">
        <f>SUM(E18:F18)</f>
        <v>94324.182000000001</v>
      </c>
      <c r="F19" s="147"/>
    </row>
    <row r="20" spans="1:8" x14ac:dyDescent="0.25">
      <c r="A20" s="136" t="s">
        <v>193</v>
      </c>
      <c r="B20" s="136"/>
      <c r="C20" s="136"/>
      <c r="D20" s="136"/>
      <c r="E20" s="136"/>
      <c r="F20" s="136"/>
    </row>
    <row r="21" spans="1:8" s="11" customFormat="1" x14ac:dyDescent="0.25">
      <c r="A21" s="224" t="s">
        <v>9</v>
      </c>
      <c r="B21" s="224"/>
      <c r="C21" s="224"/>
      <c r="D21" s="224"/>
      <c r="E21" s="224"/>
      <c r="F21" s="224"/>
      <c r="H21" s="13"/>
    </row>
    <row r="22" spans="1:8" s="11" customFormat="1" hidden="1" x14ac:dyDescent="0.25">
      <c r="A22" s="10">
        <v>5</v>
      </c>
      <c r="B22" s="221" t="s">
        <v>114</v>
      </c>
      <c r="C22" s="222"/>
      <c r="D22" s="223"/>
      <c r="E22" s="183"/>
      <c r="F22" s="184"/>
      <c r="H22" s="13"/>
    </row>
    <row r="23" spans="1:8" s="11" customFormat="1" hidden="1" x14ac:dyDescent="0.25">
      <c r="A23" s="10"/>
      <c r="B23" s="200"/>
      <c r="C23" s="201"/>
      <c r="D23" s="202"/>
      <c r="E23" s="219">
        <v>0</v>
      </c>
      <c r="F23" s="220"/>
      <c r="H23" s="13"/>
    </row>
    <row r="24" spans="1:8" s="11" customFormat="1" hidden="1" x14ac:dyDescent="0.25">
      <c r="A24" s="10"/>
      <c r="B24" s="200"/>
      <c r="C24" s="201"/>
      <c r="D24" s="202"/>
      <c r="E24" s="219">
        <v>0</v>
      </c>
      <c r="F24" s="220"/>
      <c r="H24" s="13"/>
    </row>
    <row r="25" spans="1:8" s="11" customFormat="1" ht="15.75" x14ac:dyDescent="0.25">
      <c r="A25" s="10" t="s">
        <v>158</v>
      </c>
      <c r="B25" s="190" t="s">
        <v>115</v>
      </c>
      <c r="C25" s="191"/>
      <c r="D25" s="192"/>
      <c r="E25" s="219"/>
      <c r="F25" s="220"/>
      <c r="H25" s="13"/>
    </row>
    <row r="26" spans="1:8" s="11" customFormat="1" x14ac:dyDescent="0.25">
      <c r="A26" s="10" t="s">
        <v>159</v>
      </c>
      <c r="B26" s="200" t="s">
        <v>99</v>
      </c>
      <c r="C26" s="201"/>
      <c r="D26" s="202"/>
      <c r="E26" s="212">
        <f>9370-221.78203</f>
        <v>9148.2179699999997</v>
      </c>
      <c r="F26" s="213"/>
      <c r="H26" s="13"/>
    </row>
    <row r="27" spans="1:8" s="11" customFormat="1" x14ac:dyDescent="0.25">
      <c r="A27" s="10" t="s">
        <v>160</v>
      </c>
      <c r="B27" s="200" t="s">
        <v>100</v>
      </c>
      <c r="C27" s="201"/>
      <c r="D27" s="202"/>
      <c r="E27" s="212">
        <f>54420-15866.31308</f>
        <v>38553.68692</v>
      </c>
      <c r="F27" s="213"/>
      <c r="H27" s="13"/>
    </row>
    <row r="28" spans="1:8" s="11" customFormat="1" ht="30" customHeight="1" x14ac:dyDescent="0.25">
      <c r="A28" s="10" t="s">
        <v>161</v>
      </c>
      <c r="B28" s="200" t="s">
        <v>101</v>
      </c>
      <c r="C28" s="201"/>
      <c r="D28" s="202"/>
      <c r="E28" s="212">
        <f>19680-1770.4549</f>
        <v>17909.545099999999</v>
      </c>
      <c r="F28" s="213"/>
      <c r="H28" s="13"/>
    </row>
    <row r="29" spans="1:8" s="11" customFormat="1" x14ac:dyDescent="0.25">
      <c r="A29" s="10" t="s">
        <v>162</v>
      </c>
      <c r="B29" s="200" t="s">
        <v>102</v>
      </c>
      <c r="C29" s="201"/>
      <c r="D29" s="202"/>
      <c r="E29" s="212">
        <f>4848-728.1876</f>
        <v>4119.8123999999998</v>
      </c>
      <c r="F29" s="213"/>
      <c r="H29" s="13"/>
    </row>
    <row r="30" spans="1:8" s="11" customFormat="1" x14ac:dyDescent="0.25">
      <c r="A30" s="10" t="s">
        <v>163</v>
      </c>
      <c r="B30" s="200" t="s">
        <v>103</v>
      </c>
      <c r="C30" s="201"/>
      <c r="D30" s="202"/>
      <c r="E30" s="212">
        <f>32301-1251.79014</f>
        <v>31049.209859999999</v>
      </c>
      <c r="F30" s="213"/>
      <c r="H30" s="13"/>
    </row>
    <row r="31" spans="1:8" s="11" customFormat="1" ht="30" customHeight="1" x14ac:dyDescent="0.25">
      <c r="A31" s="10" t="s">
        <v>164</v>
      </c>
      <c r="B31" s="200" t="s">
        <v>104</v>
      </c>
      <c r="C31" s="201"/>
      <c r="D31" s="202"/>
      <c r="E31" s="212">
        <f>12052-1538.93782</f>
        <v>10513.062180000001</v>
      </c>
      <c r="F31" s="213"/>
      <c r="H31" s="13"/>
    </row>
    <row r="32" spans="1:8" s="11" customFormat="1" ht="30" hidden="1" customHeight="1" x14ac:dyDescent="0.25">
      <c r="A32" s="10" t="s">
        <v>64</v>
      </c>
      <c r="B32" s="200" t="s">
        <v>105</v>
      </c>
      <c r="C32" s="201"/>
      <c r="D32" s="202"/>
      <c r="E32" s="212">
        <v>0</v>
      </c>
      <c r="F32" s="213"/>
      <c r="H32" s="13"/>
    </row>
    <row r="33" spans="1:8" s="11" customFormat="1" x14ac:dyDescent="0.25">
      <c r="A33" s="10" t="s">
        <v>165</v>
      </c>
      <c r="B33" s="200" t="s">
        <v>106</v>
      </c>
      <c r="C33" s="201"/>
      <c r="D33" s="202"/>
      <c r="E33" s="212">
        <f>20000-12449.26592</f>
        <v>7550.7340800000002</v>
      </c>
      <c r="F33" s="213"/>
      <c r="H33" s="13"/>
    </row>
    <row r="34" spans="1:8" s="11" customFormat="1" x14ac:dyDescent="0.25">
      <c r="A34" s="10" t="s">
        <v>166</v>
      </c>
      <c r="B34" s="200" t="s">
        <v>107</v>
      </c>
      <c r="C34" s="201"/>
      <c r="D34" s="202"/>
      <c r="E34" s="212">
        <f>5700-502.73544</f>
        <v>5197.2645599999996</v>
      </c>
      <c r="F34" s="213"/>
      <c r="H34" s="13"/>
    </row>
    <row r="35" spans="1:8" s="11" customFormat="1" x14ac:dyDescent="0.25">
      <c r="A35" s="10" t="s">
        <v>167</v>
      </c>
      <c r="B35" s="200" t="s">
        <v>108</v>
      </c>
      <c r="C35" s="201"/>
      <c r="D35" s="202"/>
      <c r="E35" s="212">
        <f>24130-12961.66188</f>
        <v>11168.33812</v>
      </c>
      <c r="F35" s="213"/>
      <c r="H35" s="13"/>
    </row>
    <row r="36" spans="1:8" s="11" customFormat="1" x14ac:dyDescent="0.25">
      <c r="A36" s="10" t="s">
        <v>168</v>
      </c>
      <c r="B36" s="200" t="s">
        <v>109</v>
      </c>
      <c r="C36" s="201"/>
      <c r="D36" s="202"/>
      <c r="E36" s="212">
        <f>30000-13598.73435</f>
        <v>16401.265650000001</v>
      </c>
      <c r="F36" s="213"/>
      <c r="H36" s="13"/>
    </row>
    <row r="37" spans="1:8" s="11" customFormat="1" ht="45" customHeight="1" x14ac:dyDescent="0.25">
      <c r="A37" s="10" t="s">
        <v>169</v>
      </c>
      <c r="B37" s="200" t="s">
        <v>110</v>
      </c>
      <c r="C37" s="201"/>
      <c r="D37" s="202"/>
      <c r="E37" s="198">
        <f>19980.633-1685.07659</f>
        <v>18295.556410000001</v>
      </c>
      <c r="F37" s="199"/>
      <c r="H37" s="13"/>
    </row>
    <row r="38" spans="1:8" s="11" customFormat="1" ht="30" customHeight="1" x14ac:dyDescent="0.25">
      <c r="A38" s="10" t="s">
        <v>170</v>
      </c>
      <c r="B38" s="200" t="s">
        <v>111</v>
      </c>
      <c r="C38" s="201"/>
      <c r="D38" s="202"/>
      <c r="E38" s="212">
        <f>2700-761.50048</f>
        <v>1938.4995199999998</v>
      </c>
      <c r="F38" s="213"/>
      <c r="H38" s="13"/>
    </row>
    <row r="39" spans="1:8" s="11" customFormat="1" ht="30" customHeight="1" x14ac:dyDescent="0.25">
      <c r="A39" s="10" t="s">
        <v>171</v>
      </c>
      <c r="B39" s="200" t="s">
        <v>112</v>
      </c>
      <c r="C39" s="201"/>
      <c r="D39" s="202"/>
      <c r="E39" s="212">
        <f>4945-276.89784</f>
        <v>4668.1021600000004</v>
      </c>
      <c r="F39" s="213"/>
      <c r="H39" s="13"/>
    </row>
    <row r="40" spans="1:8" s="11" customFormat="1" x14ac:dyDescent="0.25">
      <c r="A40" s="10" t="s">
        <v>172</v>
      </c>
      <c r="B40" s="200" t="s">
        <v>113</v>
      </c>
      <c r="C40" s="201"/>
      <c r="D40" s="202"/>
      <c r="E40" s="212">
        <f>860-30.77978</f>
        <v>829.22022000000004</v>
      </c>
      <c r="F40" s="213"/>
      <c r="H40" s="13"/>
    </row>
    <row r="41" spans="1:8" s="11" customFormat="1" x14ac:dyDescent="0.25">
      <c r="A41" s="10" t="s">
        <v>173</v>
      </c>
      <c r="B41" s="200" t="s">
        <v>50</v>
      </c>
      <c r="C41" s="201"/>
      <c r="D41" s="202"/>
      <c r="E41" s="212">
        <f>13846-92.23624</f>
        <v>13753.76376</v>
      </c>
      <c r="F41" s="213"/>
      <c r="H41" s="13"/>
    </row>
    <row r="42" spans="1:8" s="11" customFormat="1" x14ac:dyDescent="0.25">
      <c r="A42" s="10" t="s">
        <v>174</v>
      </c>
      <c r="B42" s="200" t="s">
        <v>51</v>
      </c>
      <c r="C42" s="201"/>
      <c r="D42" s="202"/>
      <c r="E42" s="212">
        <f>4930-3.07402</f>
        <v>4926.92598</v>
      </c>
      <c r="F42" s="213"/>
      <c r="H42" s="13"/>
    </row>
    <row r="43" spans="1:8" s="11" customFormat="1" x14ac:dyDescent="0.25">
      <c r="A43" s="12">
        <v>4</v>
      </c>
      <c r="B43" s="193" t="s">
        <v>53</v>
      </c>
      <c r="C43" s="194"/>
      <c r="D43" s="195"/>
      <c r="E43" s="212"/>
      <c r="F43" s="213"/>
      <c r="H43" s="13"/>
    </row>
    <row r="44" spans="1:8" s="11" customFormat="1" x14ac:dyDescent="0.25">
      <c r="A44" s="10" t="s">
        <v>175</v>
      </c>
      <c r="B44" s="185" t="s">
        <v>116</v>
      </c>
      <c r="C44" s="186"/>
      <c r="D44" s="187"/>
      <c r="E44" s="212">
        <f>46080-5199.18084</f>
        <v>40880.819159999999</v>
      </c>
      <c r="F44" s="213"/>
      <c r="H44" s="13"/>
    </row>
    <row r="45" spans="1:8" s="11" customFormat="1" hidden="1" x14ac:dyDescent="0.25">
      <c r="A45" s="10" t="s">
        <v>76</v>
      </c>
      <c r="B45" s="185" t="s">
        <v>117</v>
      </c>
      <c r="C45" s="186"/>
      <c r="D45" s="187"/>
      <c r="E45" s="212">
        <v>0</v>
      </c>
      <c r="F45" s="213"/>
      <c r="H45" s="13"/>
    </row>
    <row r="46" spans="1:8" s="11" customFormat="1" hidden="1" x14ac:dyDescent="0.25">
      <c r="A46" s="10" t="s">
        <v>77</v>
      </c>
      <c r="B46" s="185" t="s">
        <v>118</v>
      </c>
      <c r="C46" s="186"/>
      <c r="D46" s="187"/>
      <c r="E46" s="212">
        <v>0</v>
      </c>
      <c r="F46" s="213"/>
      <c r="H46" s="13"/>
    </row>
    <row r="47" spans="1:8" s="11" customFormat="1" x14ac:dyDescent="0.25">
      <c r="A47" s="10"/>
      <c r="B47" s="214" t="s">
        <v>20</v>
      </c>
      <c r="C47" s="215"/>
      <c r="D47" s="216"/>
      <c r="E47" s="217">
        <f>SUM(E22:F46)</f>
        <v>236904.02405000001</v>
      </c>
      <c r="F47" s="218"/>
      <c r="H47" s="13"/>
    </row>
    <row r="48" spans="1:8" s="11" customFormat="1" x14ac:dyDescent="0.25">
      <c r="A48" s="190" t="s">
        <v>54</v>
      </c>
      <c r="B48" s="191"/>
      <c r="C48" s="191"/>
      <c r="D48" s="192"/>
      <c r="E48" s="183"/>
      <c r="F48" s="184"/>
      <c r="H48" s="13"/>
    </row>
    <row r="49" spans="1:8" s="11" customFormat="1" ht="27" customHeight="1" x14ac:dyDescent="0.25">
      <c r="A49" s="12">
        <v>5</v>
      </c>
      <c r="B49" s="174" t="s">
        <v>134</v>
      </c>
      <c r="C49" s="175"/>
      <c r="D49" s="176"/>
      <c r="E49" s="212">
        <f>58020-17778.38448</f>
        <v>40241.615519999999</v>
      </c>
      <c r="F49" s="213"/>
      <c r="H49" s="13">
        <f>E47+E49+E51+E53+E55+E58</f>
        <v>316672.48161000002</v>
      </c>
    </row>
    <row r="50" spans="1:8" s="11" customFormat="1" x14ac:dyDescent="0.25">
      <c r="A50" s="180" t="s">
        <v>55</v>
      </c>
      <c r="B50" s="181"/>
      <c r="C50" s="181"/>
      <c r="D50" s="182"/>
      <c r="E50" s="183"/>
      <c r="F50" s="184"/>
      <c r="H50" s="13"/>
    </row>
    <row r="51" spans="1:8" s="11" customFormat="1" x14ac:dyDescent="0.25">
      <c r="A51" s="12">
        <v>6</v>
      </c>
      <c r="B51" s="185" t="s">
        <v>135</v>
      </c>
      <c r="C51" s="186"/>
      <c r="D51" s="187"/>
      <c r="E51" s="212">
        <v>3016.489</v>
      </c>
      <c r="F51" s="213"/>
      <c r="H51" s="13" t="e">
        <f>#REF!+#REF!</f>
        <v>#REF!</v>
      </c>
    </row>
    <row r="52" spans="1:8" s="11" customFormat="1" ht="15" customHeight="1" x14ac:dyDescent="0.25">
      <c r="A52" s="180" t="s">
        <v>137</v>
      </c>
      <c r="B52" s="181"/>
      <c r="C52" s="181"/>
      <c r="D52" s="182"/>
      <c r="E52" s="212"/>
      <c r="F52" s="213"/>
      <c r="H52" s="13"/>
    </row>
    <row r="53" spans="1:8" s="11" customFormat="1" x14ac:dyDescent="0.25">
      <c r="A53" s="12">
        <v>7</v>
      </c>
      <c r="B53" s="174" t="s">
        <v>56</v>
      </c>
      <c r="C53" s="175"/>
      <c r="D53" s="176"/>
      <c r="E53" s="212">
        <f>22553.339-14.98146</f>
        <v>22538.357540000001</v>
      </c>
      <c r="F53" s="213"/>
      <c r="H53" s="13"/>
    </row>
    <row r="54" spans="1:8" s="11" customFormat="1" x14ac:dyDescent="0.25">
      <c r="A54" s="180" t="s">
        <v>138</v>
      </c>
      <c r="B54" s="181"/>
      <c r="C54" s="181"/>
      <c r="D54" s="182"/>
      <c r="E54" s="183"/>
      <c r="F54" s="184"/>
      <c r="H54" s="13"/>
    </row>
    <row r="55" spans="1:8" s="11" customFormat="1" x14ac:dyDescent="0.25">
      <c r="A55" s="12">
        <v>8</v>
      </c>
      <c r="B55" s="185" t="s">
        <v>139</v>
      </c>
      <c r="C55" s="186"/>
      <c r="D55" s="187"/>
      <c r="E55" s="212">
        <v>6751.9</v>
      </c>
      <c r="F55" s="213"/>
      <c r="H55" s="13"/>
    </row>
    <row r="56" spans="1:8" s="11" customFormat="1" ht="15" hidden="1" customHeight="1" x14ac:dyDescent="0.25">
      <c r="A56" s="12">
        <v>13</v>
      </c>
      <c r="B56" s="174" t="s">
        <v>140</v>
      </c>
      <c r="C56" s="175"/>
      <c r="D56" s="176"/>
      <c r="E56" s="212">
        <v>0</v>
      </c>
      <c r="F56" s="213"/>
      <c r="H56" s="13"/>
    </row>
    <row r="57" spans="1:8" s="11" customFormat="1" x14ac:dyDescent="0.25">
      <c r="A57" s="180" t="s">
        <v>149</v>
      </c>
      <c r="B57" s="181"/>
      <c r="C57" s="181"/>
      <c r="D57" s="182"/>
      <c r="E57" s="212"/>
      <c r="F57" s="213"/>
      <c r="H57" s="13"/>
    </row>
    <row r="58" spans="1:8" s="11" customFormat="1" x14ac:dyDescent="0.25">
      <c r="A58" s="12">
        <v>9</v>
      </c>
      <c r="B58" s="174" t="s">
        <v>141</v>
      </c>
      <c r="C58" s="175"/>
      <c r="D58" s="176"/>
      <c r="E58" s="212">
        <f>7510-289.9045</f>
        <v>7220.0955000000004</v>
      </c>
      <c r="F58" s="213"/>
      <c r="H58" s="13"/>
    </row>
    <row r="59" spans="1:8" s="11" customFormat="1" x14ac:dyDescent="0.25">
      <c r="A59" s="10"/>
      <c r="B59" s="214" t="s">
        <v>20</v>
      </c>
      <c r="C59" s="215"/>
      <c r="D59" s="216"/>
      <c r="E59" s="183">
        <f>SUM(E48:F58)</f>
        <v>79768.457559999995</v>
      </c>
      <c r="F59" s="184"/>
      <c r="H59" s="13">
        <f>E47+E59</f>
        <v>316672.48161000002</v>
      </c>
    </row>
    <row r="60" spans="1:8" x14ac:dyDescent="0.25">
      <c r="A60" s="136" t="s">
        <v>15</v>
      </c>
      <c r="B60" s="136"/>
      <c r="C60" s="136"/>
      <c r="D60" s="136"/>
      <c r="E60" s="143">
        <f>E47+E59</f>
        <v>316672.48161000002</v>
      </c>
      <c r="F60" s="143"/>
    </row>
    <row r="61" spans="1:8" x14ac:dyDescent="0.25">
      <c r="A61" s="124" t="s">
        <v>196</v>
      </c>
      <c r="B61" s="125"/>
      <c r="C61" s="125"/>
      <c r="D61" s="125"/>
      <c r="E61" s="125"/>
      <c r="F61" s="126"/>
    </row>
    <row r="62" spans="1:8" ht="16.5" customHeight="1" x14ac:dyDescent="0.25">
      <c r="A62" s="23" t="s">
        <v>176</v>
      </c>
      <c r="B62" s="103" t="s">
        <v>115</v>
      </c>
      <c r="C62" s="104"/>
      <c r="D62" s="105"/>
      <c r="E62" s="210"/>
      <c r="F62" s="211"/>
    </row>
    <row r="63" spans="1:8" s="11" customFormat="1" x14ac:dyDescent="0.25">
      <c r="A63" s="10" t="s">
        <v>82</v>
      </c>
      <c r="B63" s="200" t="s">
        <v>99</v>
      </c>
      <c r="C63" s="201"/>
      <c r="D63" s="202"/>
      <c r="E63" s="188">
        <f>641.3886</f>
        <v>641.3886</v>
      </c>
      <c r="F63" s="189"/>
      <c r="G63" s="30">
        <v>221.78202999999999</v>
      </c>
      <c r="H63" s="31"/>
    </row>
    <row r="64" spans="1:8" s="11" customFormat="1" ht="15" hidden="1" customHeight="1" x14ac:dyDescent="0.25">
      <c r="A64" s="10"/>
      <c r="B64" s="205" t="s">
        <v>100</v>
      </c>
      <c r="C64" s="206"/>
      <c r="D64" s="207"/>
      <c r="E64" s="208"/>
      <c r="F64" s="209"/>
      <c r="G64" s="32"/>
      <c r="H64" s="33"/>
    </row>
    <row r="65" spans="1:8" s="11" customFormat="1" ht="30" customHeight="1" x14ac:dyDescent="0.25">
      <c r="A65" s="10" t="s">
        <v>177</v>
      </c>
      <c r="B65" s="200" t="s">
        <v>101</v>
      </c>
      <c r="C65" s="201"/>
      <c r="D65" s="202"/>
      <c r="E65" s="188">
        <f>971.00312+632.59082</f>
        <v>1603.59394</v>
      </c>
      <c r="F65" s="189"/>
      <c r="G65" s="30">
        <v>1770.4549</v>
      </c>
      <c r="H65" s="31"/>
    </row>
    <row r="66" spans="1:8" s="11" customFormat="1" x14ac:dyDescent="0.25">
      <c r="A66" s="10" t="s">
        <v>198</v>
      </c>
      <c r="B66" s="200" t="s">
        <v>102</v>
      </c>
      <c r="C66" s="201"/>
      <c r="D66" s="202"/>
      <c r="E66" s="188">
        <f>2715.3216</f>
        <v>2715.3216000000002</v>
      </c>
      <c r="F66" s="189"/>
      <c r="G66" s="30">
        <v>728.18759999999997</v>
      </c>
      <c r="H66" s="31"/>
    </row>
    <row r="67" spans="1:8" s="11" customFormat="1" hidden="1" x14ac:dyDescent="0.25">
      <c r="A67" s="10"/>
      <c r="B67" s="200" t="s">
        <v>103</v>
      </c>
      <c r="C67" s="201"/>
      <c r="D67" s="202"/>
      <c r="E67" s="188"/>
      <c r="F67" s="189"/>
      <c r="G67" s="30">
        <v>1251.7901400000001</v>
      </c>
      <c r="H67" s="31"/>
    </row>
    <row r="68" spans="1:8" s="11" customFormat="1" ht="30" customHeight="1" x14ac:dyDescent="0.25">
      <c r="A68" s="10" t="s">
        <v>199</v>
      </c>
      <c r="B68" s="200" t="s">
        <v>104</v>
      </c>
      <c r="C68" s="201"/>
      <c r="D68" s="202"/>
      <c r="E68" s="188">
        <f>11779.40664</f>
        <v>11779.406639999999</v>
      </c>
      <c r="F68" s="189"/>
      <c r="G68" s="30">
        <v>1538.9378200000001</v>
      </c>
      <c r="H68" s="31"/>
    </row>
    <row r="69" spans="1:8" s="11" customFormat="1" ht="30" hidden="1" customHeight="1" x14ac:dyDescent="0.25">
      <c r="A69" s="10"/>
      <c r="B69" s="205" t="s">
        <v>105</v>
      </c>
      <c r="C69" s="206"/>
      <c r="D69" s="207"/>
      <c r="E69" s="208"/>
      <c r="F69" s="209"/>
      <c r="G69" s="32"/>
      <c r="H69" s="33"/>
    </row>
    <row r="70" spans="1:8" s="11" customFormat="1" ht="15" hidden="1" customHeight="1" x14ac:dyDescent="0.25">
      <c r="A70" s="10"/>
      <c r="B70" s="205" t="s">
        <v>106</v>
      </c>
      <c r="C70" s="206"/>
      <c r="D70" s="207"/>
      <c r="E70" s="208"/>
      <c r="F70" s="209"/>
      <c r="G70" s="32"/>
      <c r="H70" s="33"/>
    </row>
    <row r="71" spans="1:8" s="11" customFormat="1" hidden="1" x14ac:dyDescent="0.25">
      <c r="A71" s="10"/>
      <c r="B71" s="200" t="s">
        <v>107</v>
      </c>
      <c r="C71" s="201"/>
      <c r="D71" s="202"/>
      <c r="E71" s="188"/>
      <c r="F71" s="189"/>
      <c r="G71" s="30">
        <v>502.73543999999998</v>
      </c>
      <c r="H71" s="31"/>
    </row>
    <row r="72" spans="1:8" s="11" customFormat="1" hidden="1" x14ac:dyDescent="0.25">
      <c r="A72" s="10"/>
      <c r="B72" s="200" t="s">
        <v>108</v>
      </c>
      <c r="C72" s="201"/>
      <c r="D72" s="202"/>
      <c r="E72" s="188"/>
      <c r="F72" s="189"/>
      <c r="G72" s="30">
        <v>12961.66188</v>
      </c>
      <c r="H72" s="31"/>
    </row>
    <row r="73" spans="1:8" s="11" customFormat="1" x14ac:dyDescent="0.25">
      <c r="A73" s="10" t="s">
        <v>200</v>
      </c>
      <c r="B73" s="200" t="s">
        <v>109</v>
      </c>
      <c r="C73" s="201"/>
      <c r="D73" s="202"/>
      <c r="E73" s="188">
        <f>43.0405+502.63752+187.58815+1449.66775</f>
        <v>2182.9339199999999</v>
      </c>
      <c r="F73" s="189"/>
      <c r="G73" s="30">
        <v>13598.734350000001</v>
      </c>
      <c r="H73" s="31"/>
    </row>
    <row r="74" spans="1:8" s="11" customFormat="1" ht="45" hidden="1" customHeight="1" x14ac:dyDescent="0.25">
      <c r="A74" s="10"/>
      <c r="B74" s="200" t="s">
        <v>110</v>
      </c>
      <c r="C74" s="201"/>
      <c r="D74" s="202"/>
      <c r="E74" s="203"/>
      <c r="F74" s="204"/>
      <c r="G74" s="34">
        <v>1685.0765899999999</v>
      </c>
      <c r="H74" s="35"/>
    </row>
    <row r="75" spans="1:8" s="11" customFormat="1" ht="30" customHeight="1" x14ac:dyDescent="0.25">
      <c r="A75" s="10" t="s">
        <v>201</v>
      </c>
      <c r="B75" s="200" t="s">
        <v>111</v>
      </c>
      <c r="C75" s="201"/>
      <c r="D75" s="202"/>
      <c r="E75" s="188">
        <f>7789.27794+170.59024+4111.00082</f>
        <v>12070.868999999999</v>
      </c>
      <c r="F75" s="189"/>
      <c r="G75" s="30">
        <v>761.50048000000004</v>
      </c>
      <c r="H75" s="31"/>
    </row>
    <row r="76" spans="1:8" s="11" customFormat="1" ht="28.5" hidden="1" customHeight="1" x14ac:dyDescent="0.25">
      <c r="A76" s="10"/>
      <c r="B76" s="200" t="s">
        <v>112</v>
      </c>
      <c r="C76" s="201"/>
      <c r="D76" s="202"/>
      <c r="E76" s="188"/>
      <c r="F76" s="189"/>
      <c r="G76" s="30">
        <v>276.89783999999997</v>
      </c>
      <c r="H76" s="31"/>
    </row>
    <row r="77" spans="1:8" s="11" customFormat="1" x14ac:dyDescent="0.25">
      <c r="A77" s="10" t="s">
        <v>203</v>
      </c>
      <c r="B77" s="200" t="s">
        <v>205</v>
      </c>
      <c r="C77" s="201"/>
      <c r="D77" s="202"/>
      <c r="E77" s="188">
        <f>538.7762+252.58372</f>
        <v>791.35991999999999</v>
      </c>
      <c r="F77" s="189"/>
      <c r="G77" s="30">
        <v>30.779779999999999</v>
      </c>
      <c r="H77" s="31"/>
    </row>
    <row r="78" spans="1:8" s="11" customFormat="1" hidden="1" x14ac:dyDescent="0.25">
      <c r="A78" s="10"/>
      <c r="B78" s="200" t="s">
        <v>50</v>
      </c>
      <c r="C78" s="201"/>
      <c r="D78" s="202"/>
      <c r="E78" s="188"/>
      <c r="F78" s="189"/>
      <c r="G78" s="30">
        <v>92.236239999999995</v>
      </c>
      <c r="H78" s="31"/>
    </row>
    <row r="79" spans="1:8" s="11" customFormat="1" x14ac:dyDescent="0.25">
      <c r="A79" s="10" t="s">
        <v>204</v>
      </c>
      <c r="B79" s="200" t="s">
        <v>51</v>
      </c>
      <c r="C79" s="201"/>
      <c r="D79" s="202"/>
      <c r="E79" s="188">
        <v>3830.96558</v>
      </c>
      <c r="F79" s="189"/>
      <c r="G79" s="30">
        <v>3.07402</v>
      </c>
      <c r="H79" s="31"/>
    </row>
    <row r="80" spans="1:8" s="11" customFormat="1" x14ac:dyDescent="0.25">
      <c r="A80" s="12">
        <v>11</v>
      </c>
      <c r="B80" s="193" t="s">
        <v>53</v>
      </c>
      <c r="C80" s="194"/>
      <c r="D80" s="195"/>
      <c r="E80" s="196"/>
      <c r="F80" s="197"/>
      <c r="G80" s="30"/>
      <c r="H80" s="31"/>
    </row>
    <row r="81" spans="1:8" s="11" customFormat="1" x14ac:dyDescent="0.25">
      <c r="A81" s="10" t="s">
        <v>178</v>
      </c>
      <c r="B81" s="185" t="s">
        <v>116</v>
      </c>
      <c r="C81" s="186"/>
      <c r="D81" s="187"/>
      <c r="E81" s="188">
        <f>4646.48482+550.59626+1369.96348</f>
        <v>6567.0445600000003</v>
      </c>
      <c r="F81" s="189"/>
      <c r="G81" s="30">
        <v>5199.18084</v>
      </c>
      <c r="H81" s="31"/>
    </row>
    <row r="82" spans="1:8" s="11" customFormat="1" hidden="1" x14ac:dyDescent="0.25">
      <c r="A82" s="10" t="s">
        <v>179</v>
      </c>
      <c r="B82" s="185" t="s">
        <v>117</v>
      </c>
      <c r="C82" s="186"/>
      <c r="D82" s="187"/>
      <c r="E82" s="188"/>
      <c r="F82" s="189"/>
      <c r="G82" s="30">
        <v>2300</v>
      </c>
      <c r="H82" s="31"/>
    </row>
    <row r="83" spans="1:8" s="11" customFormat="1" hidden="1" x14ac:dyDescent="0.25">
      <c r="A83" s="10" t="s">
        <v>180</v>
      </c>
      <c r="B83" s="185" t="s">
        <v>118</v>
      </c>
      <c r="C83" s="186"/>
      <c r="D83" s="187"/>
      <c r="E83" s="188"/>
      <c r="F83" s="189"/>
      <c r="G83" s="30">
        <v>320</v>
      </c>
      <c r="H83" s="31"/>
    </row>
    <row r="84" spans="1:8" s="11" customFormat="1" ht="15" customHeight="1" x14ac:dyDescent="0.25">
      <c r="A84" s="14" t="s">
        <v>206</v>
      </c>
      <c r="B84" s="190" t="s">
        <v>210</v>
      </c>
      <c r="C84" s="191"/>
      <c r="D84" s="192"/>
      <c r="E84" s="183"/>
      <c r="F84" s="184"/>
      <c r="G84" s="36"/>
      <c r="H84" s="37"/>
    </row>
    <row r="85" spans="1:8" s="11" customFormat="1" x14ac:dyDescent="0.25">
      <c r="A85" s="10" t="s">
        <v>181</v>
      </c>
      <c r="B85" s="174" t="s">
        <v>208</v>
      </c>
      <c r="C85" s="175"/>
      <c r="D85" s="176"/>
      <c r="E85" s="198">
        <v>1137.1258800000001</v>
      </c>
      <c r="F85" s="199"/>
      <c r="G85" s="36"/>
      <c r="H85" s="37"/>
    </row>
    <row r="86" spans="1:8" s="11" customFormat="1" ht="28.5" customHeight="1" x14ac:dyDescent="0.25">
      <c r="A86" s="10" t="s">
        <v>182</v>
      </c>
      <c r="B86" s="174" t="s">
        <v>209</v>
      </c>
      <c r="C86" s="175"/>
      <c r="D86" s="176"/>
      <c r="E86" s="177">
        <f>3428.7614+9698.7386</f>
        <v>13127.5</v>
      </c>
      <c r="F86" s="178"/>
      <c r="G86" s="38">
        <v>17778.384480000001</v>
      </c>
      <c r="H86" s="39"/>
    </row>
    <row r="87" spans="1:8" s="11" customFormat="1" ht="15" customHeight="1" x14ac:dyDescent="0.25">
      <c r="A87" s="15" t="s">
        <v>183</v>
      </c>
      <c r="B87" s="179" t="s">
        <v>151</v>
      </c>
      <c r="C87" s="179"/>
      <c r="D87" s="179"/>
      <c r="E87" s="177"/>
      <c r="F87" s="178"/>
      <c r="G87" s="38"/>
      <c r="H87" s="39"/>
    </row>
    <row r="88" spans="1:8" s="11" customFormat="1" x14ac:dyDescent="0.25">
      <c r="A88" s="10" t="s">
        <v>184</v>
      </c>
      <c r="B88" s="174" t="s">
        <v>56</v>
      </c>
      <c r="C88" s="175"/>
      <c r="D88" s="176"/>
      <c r="E88" s="177">
        <f>768.08088+5932.29424</f>
        <v>6700.3751200000006</v>
      </c>
      <c r="F88" s="178"/>
      <c r="G88" s="38">
        <v>14.98146</v>
      </c>
      <c r="H88" s="39"/>
    </row>
    <row r="89" spans="1:8" s="11" customFormat="1" ht="15" hidden="1" customHeight="1" x14ac:dyDescent="0.25">
      <c r="A89" s="42"/>
      <c r="B89" s="180" t="s">
        <v>152</v>
      </c>
      <c r="C89" s="181"/>
      <c r="D89" s="182"/>
      <c r="E89" s="183"/>
      <c r="F89" s="184"/>
      <c r="G89" s="36"/>
      <c r="H89" s="37"/>
    </row>
    <row r="90" spans="1:8" s="11" customFormat="1" ht="15" hidden="1" customHeight="1" x14ac:dyDescent="0.25">
      <c r="A90" s="42"/>
      <c r="B90" s="174" t="s">
        <v>140</v>
      </c>
      <c r="C90" s="175"/>
      <c r="D90" s="176"/>
      <c r="E90" s="177"/>
      <c r="F90" s="178"/>
      <c r="G90" s="38">
        <v>920</v>
      </c>
      <c r="H90" s="39"/>
    </row>
    <row r="91" spans="1:8" s="11" customFormat="1" x14ac:dyDescent="0.25">
      <c r="A91" s="15" t="s">
        <v>185</v>
      </c>
      <c r="B91" s="179" t="s">
        <v>153</v>
      </c>
      <c r="C91" s="179"/>
      <c r="D91" s="179"/>
      <c r="E91" s="177"/>
      <c r="F91" s="178"/>
      <c r="G91" s="38"/>
      <c r="H91" s="39"/>
    </row>
    <row r="92" spans="1:8" s="11" customFormat="1" x14ac:dyDescent="0.25">
      <c r="A92" s="10" t="s">
        <v>186</v>
      </c>
      <c r="B92" s="174" t="s">
        <v>141</v>
      </c>
      <c r="C92" s="175"/>
      <c r="D92" s="176"/>
      <c r="E92" s="177">
        <f>766.16456+2690.46844</f>
        <v>3456.6330000000003</v>
      </c>
      <c r="F92" s="178"/>
      <c r="G92" s="38">
        <v>289.90449999999998</v>
      </c>
      <c r="H92" s="39"/>
    </row>
    <row r="93" spans="1:8" ht="15" customHeight="1" x14ac:dyDescent="0.25">
      <c r="A93" s="136" t="s">
        <v>202</v>
      </c>
      <c r="B93" s="136"/>
      <c r="C93" s="136"/>
      <c r="D93" s="136"/>
      <c r="E93" s="170">
        <f>SUM(E62:F92)</f>
        <v>66604.517760000002</v>
      </c>
      <c r="F93" s="171"/>
      <c r="G93" s="40">
        <f>SUM(G62:H92)</f>
        <v>62246.300389999997</v>
      </c>
      <c r="H93" s="41"/>
    </row>
    <row r="94" spans="1:8" x14ac:dyDescent="0.25">
      <c r="A94" s="124"/>
      <c r="B94" s="125"/>
      <c r="C94" s="125"/>
      <c r="D94" s="126"/>
      <c r="E94" s="172"/>
      <c r="F94" s="173"/>
      <c r="H94" s="9"/>
    </row>
    <row r="95" spans="1:8" x14ac:dyDescent="0.25">
      <c r="A95" s="124" t="s">
        <v>197</v>
      </c>
      <c r="B95" s="125"/>
      <c r="C95" s="125"/>
      <c r="D95" s="126"/>
      <c r="E95" s="172">
        <f>E16+E19+E60+E93</f>
        <v>609276.99936999998</v>
      </c>
      <c r="F95" s="173"/>
      <c r="H95" s="9"/>
    </row>
    <row r="96" spans="1:8" ht="9" customHeight="1" x14ac:dyDescent="0.25">
      <c r="A96" s="19"/>
      <c r="B96" s="19"/>
      <c r="C96" s="19"/>
      <c r="D96" s="19"/>
      <c r="E96" s="20"/>
      <c r="F96" s="20"/>
      <c r="H96" s="9"/>
    </row>
    <row r="97" spans="1:7" x14ac:dyDescent="0.25">
      <c r="A97" s="150" t="s">
        <v>28</v>
      </c>
      <c r="B97" s="150"/>
      <c r="C97" s="150"/>
      <c r="D97" s="150"/>
      <c r="E97" s="168">
        <f>E95*1000</f>
        <v>609276999.37</v>
      </c>
      <c r="F97" s="168"/>
      <c r="G97" s="8"/>
    </row>
    <row r="98" spans="1:7" ht="15" customHeight="1" x14ac:dyDescent="0.25">
      <c r="A98" s="148" t="s">
        <v>29</v>
      </c>
      <c r="B98" s="148"/>
      <c r="C98" s="148"/>
      <c r="D98" s="148"/>
      <c r="E98" s="169">
        <f>E97-E97/1.18</f>
        <v>92940559.225932181</v>
      </c>
      <c r="F98" s="169"/>
    </row>
    <row r="99" spans="1:7" ht="8.25" customHeight="1" x14ac:dyDescent="0.25"/>
    <row r="100" spans="1:7" hidden="1" x14ac:dyDescent="0.25"/>
    <row r="101" spans="1:7" ht="30" customHeight="1" x14ac:dyDescent="0.25">
      <c r="A101" s="141" t="s">
        <v>31</v>
      </c>
      <c r="B101" s="141"/>
      <c r="C101" s="141"/>
      <c r="D101" s="141"/>
      <c r="E101" s="141"/>
      <c r="F101" s="141"/>
    </row>
    <row r="102" spans="1:7" ht="8.25" customHeight="1" x14ac:dyDescent="0.25"/>
    <row r="103" spans="1:7" x14ac:dyDescent="0.25">
      <c r="B103" s="24" t="s">
        <v>32</v>
      </c>
      <c r="C103" s="137" t="s">
        <v>33</v>
      </c>
      <c r="D103" s="137"/>
    </row>
    <row r="104" spans="1:7" ht="10.5" customHeight="1" x14ac:dyDescent="0.25">
      <c r="B104" s="165">
        <v>2013</v>
      </c>
      <c r="C104" s="166"/>
      <c r="D104" s="167"/>
    </row>
    <row r="105" spans="1:7" ht="11.25" customHeight="1" x14ac:dyDescent="0.25">
      <c r="B105" s="24" t="s">
        <v>34</v>
      </c>
      <c r="C105" s="161">
        <v>5.63</v>
      </c>
      <c r="D105" s="161"/>
    </row>
    <row r="106" spans="1:7" x14ac:dyDescent="0.25">
      <c r="B106" s="24" t="s">
        <v>35</v>
      </c>
      <c r="C106" s="161">
        <v>4.09</v>
      </c>
      <c r="D106" s="161"/>
    </row>
    <row r="107" spans="1:7" x14ac:dyDescent="0.25">
      <c r="B107" s="24" t="s">
        <v>36</v>
      </c>
      <c r="C107" s="161">
        <v>6.02</v>
      </c>
      <c r="D107" s="161"/>
    </row>
    <row r="108" spans="1:7" ht="12.75" customHeight="1" x14ac:dyDescent="0.25">
      <c r="B108" s="165">
        <v>2014</v>
      </c>
      <c r="C108" s="166"/>
      <c r="D108" s="167"/>
    </row>
    <row r="109" spans="1:7" x14ac:dyDescent="0.25">
      <c r="B109" s="24" t="s">
        <v>34</v>
      </c>
      <c r="C109" s="161">
        <v>6.03</v>
      </c>
      <c r="D109" s="161"/>
    </row>
    <row r="110" spans="1:7" x14ac:dyDescent="0.25">
      <c r="B110" s="24" t="s">
        <v>35</v>
      </c>
      <c r="C110" s="161">
        <v>4.38</v>
      </c>
      <c r="D110" s="161"/>
    </row>
    <row r="111" spans="1:7" x14ac:dyDescent="0.25">
      <c r="B111" s="24" t="s">
        <v>36</v>
      </c>
      <c r="C111" s="161">
        <v>6.45</v>
      </c>
      <c r="D111" s="161"/>
    </row>
    <row r="112" spans="1:7" ht="11.25" customHeight="1" x14ac:dyDescent="0.25"/>
    <row r="113" spans="1:6" ht="11.25" customHeight="1" x14ac:dyDescent="0.25"/>
    <row r="114" spans="1:6" ht="18" customHeight="1" x14ac:dyDescent="0.25">
      <c r="A114" s="162" t="s">
        <v>37</v>
      </c>
      <c r="B114" s="162"/>
      <c r="C114" s="162"/>
      <c r="D114" s="162"/>
      <c r="E114" s="162"/>
      <c r="F114" s="162"/>
    </row>
    <row r="115" spans="1:6" x14ac:dyDescent="0.25">
      <c r="A115" s="16"/>
      <c r="B115" s="16" t="s">
        <v>38</v>
      </c>
      <c r="C115" s="16"/>
      <c r="D115" s="163" t="s">
        <v>188</v>
      </c>
      <c r="E115" s="163"/>
      <c r="F115" s="16"/>
    </row>
    <row r="116" spans="1:6" x14ac:dyDescent="0.25">
      <c r="B116" s="21" t="s">
        <v>190</v>
      </c>
      <c r="D116" s="25" t="s">
        <v>194</v>
      </c>
    </row>
    <row r="117" spans="1:6" x14ac:dyDescent="0.25">
      <c r="B117" s="21" t="s">
        <v>40</v>
      </c>
      <c r="D117" s="164" t="s">
        <v>189</v>
      </c>
      <c r="E117" s="164"/>
      <c r="F117" s="164"/>
    </row>
    <row r="118" spans="1:6" x14ac:dyDescent="0.25">
      <c r="B118" s="21" t="s">
        <v>191</v>
      </c>
    </row>
    <row r="119" spans="1:6" x14ac:dyDescent="0.25">
      <c r="B119" s="21" t="s">
        <v>211</v>
      </c>
    </row>
    <row r="120" spans="1:6" ht="15" customHeight="1" x14ac:dyDescent="0.25">
      <c r="B120" s="21" t="s">
        <v>192</v>
      </c>
      <c r="D120" s="27"/>
      <c r="E120" s="139"/>
      <c r="F120" s="139"/>
    </row>
    <row r="121" spans="1:6" ht="24.75" customHeight="1" x14ac:dyDescent="0.25">
      <c r="A121" s="16"/>
      <c r="B121" s="29"/>
      <c r="C121" s="22" t="s">
        <v>207</v>
      </c>
      <c r="D121" s="18"/>
      <c r="E121" s="139" t="s">
        <v>195</v>
      </c>
      <c r="F121" s="139"/>
    </row>
    <row r="124" spans="1:6" x14ac:dyDescent="0.25">
      <c r="D124" s="27"/>
      <c r="E124" s="141"/>
      <c r="F124" s="141"/>
    </row>
  </sheetData>
  <mergeCells count="191">
    <mergeCell ref="D1:F1"/>
    <mergeCell ref="D2:F2"/>
    <mergeCell ref="D3:F3"/>
    <mergeCell ref="C4:F4"/>
    <mergeCell ref="A7:F7"/>
    <mergeCell ref="A8:F8"/>
    <mergeCell ref="A14:F14"/>
    <mergeCell ref="B15:D15"/>
    <mergeCell ref="E15:F15"/>
    <mergeCell ref="A16:D16"/>
    <mergeCell ref="E16:F16"/>
    <mergeCell ref="A17:F17"/>
    <mergeCell ref="A9:F9"/>
    <mergeCell ref="A10:F10"/>
    <mergeCell ref="B12:D12"/>
    <mergeCell ref="E12:F12"/>
    <mergeCell ref="B13:D13"/>
    <mergeCell ref="E13:F13"/>
    <mergeCell ref="B22:D22"/>
    <mergeCell ref="E22:F22"/>
    <mergeCell ref="B23:D23"/>
    <mergeCell ref="E23:F23"/>
    <mergeCell ref="B24:D24"/>
    <mergeCell ref="E24:F24"/>
    <mergeCell ref="B18:D18"/>
    <mergeCell ref="E18:F18"/>
    <mergeCell ref="A19:D19"/>
    <mergeCell ref="E19:F19"/>
    <mergeCell ref="A20:F20"/>
    <mergeCell ref="A21:F21"/>
    <mergeCell ref="B28:D28"/>
    <mergeCell ref="E28:F28"/>
    <mergeCell ref="B29:D29"/>
    <mergeCell ref="E29:F29"/>
    <mergeCell ref="B30:D30"/>
    <mergeCell ref="E30:F30"/>
    <mergeCell ref="B25:D25"/>
    <mergeCell ref="E25:F25"/>
    <mergeCell ref="B26:D26"/>
    <mergeCell ref="E26:F26"/>
    <mergeCell ref="B27:D27"/>
    <mergeCell ref="E27:F27"/>
    <mergeCell ref="B34:D34"/>
    <mergeCell ref="E34:F34"/>
    <mergeCell ref="B35:D35"/>
    <mergeCell ref="E35:F35"/>
    <mergeCell ref="B36:D36"/>
    <mergeCell ref="E36:F36"/>
    <mergeCell ref="B31:D31"/>
    <mergeCell ref="E31:F31"/>
    <mergeCell ref="B32:D32"/>
    <mergeCell ref="E32:F32"/>
    <mergeCell ref="B33:D33"/>
    <mergeCell ref="E33:F33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46:D46"/>
    <mergeCell ref="E46:F46"/>
    <mergeCell ref="B47:D47"/>
    <mergeCell ref="E47:F47"/>
    <mergeCell ref="A48:D48"/>
    <mergeCell ref="E48:F48"/>
    <mergeCell ref="B43:D43"/>
    <mergeCell ref="E43:F43"/>
    <mergeCell ref="B44:D44"/>
    <mergeCell ref="E44:F44"/>
    <mergeCell ref="B45:D45"/>
    <mergeCell ref="E45:F45"/>
    <mergeCell ref="A52:D52"/>
    <mergeCell ref="E52:F52"/>
    <mergeCell ref="B53:D53"/>
    <mergeCell ref="E53:F53"/>
    <mergeCell ref="A54:D54"/>
    <mergeCell ref="E54:F54"/>
    <mergeCell ref="B49:D49"/>
    <mergeCell ref="E49:F49"/>
    <mergeCell ref="A50:D50"/>
    <mergeCell ref="E50:F50"/>
    <mergeCell ref="B51:D51"/>
    <mergeCell ref="E51:F51"/>
    <mergeCell ref="B58:D58"/>
    <mergeCell ref="E58:F58"/>
    <mergeCell ref="B59:D59"/>
    <mergeCell ref="E59:F59"/>
    <mergeCell ref="A60:D60"/>
    <mergeCell ref="E60:F60"/>
    <mergeCell ref="B55:D55"/>
    <mergeCell ref="E55:F55"/>
    <mergeCell ref="B56:D56"/>
    <mergeCell ref="E56:F56"/>
    <mergeCell ref="A57:D57"/>
    <mergeCell ref="E57:F57"/>
    <mergeCell ref="B65:D65"/>
    <mergeCell ref="E65:F65"/>
    <mergeCell ref="B66:D66"/>
    <mergeCell ref="E66:F66"/>
    <mergeCell ref="B67:D67"/>
    <mergeCell ref="E67:F67"/>
    <mergeCell ref="A61:F61"/>
    <mergeCell ref="B62:D62"/>
    <mergeCell ref="E62:F62"/>
    <mergeCell ref="B63:D63"/>
    <mergeCell ref="E63:F63"/>
    <mergeCell ref="B64:D64"/>
    <mergeCell ref="E64:F64"/>
    <mergeCell ref="B71:D71"/>
    <mergeCell ref="E71:F71"/>
    <mergeCell ref="B72:D72"/>
    <mergeCell ref="E72:F72"/>
    <mergeCell ref="B73:D73"/>
    <mergeCell ref="E73:F73"/>
    <mergeCell ref="B68:D68"/>
    <mergeCell ref="E68:F68"/>
    <mergeCell ref="B69:D69"/>
    <mergeCell ref="E69:F69"/>
    <mergeCell ref="B70:D70"/>
    <mergeCell ref="E70:F70"/>
    <mergeCell ref="B77:D77"/>
    <mergeCell ref="E77:F77"/>
    <mergeCell ref="B78:D78"/>
    <mergeCell ref="E78:F78"/>
    <mergeCell ref="B79:D79"/>
    <mergeCell ref="E79:F79"/>
    <mergeCell ref="B74:D74"/>
    <mergeCell ref="E74:F74"/>
    <mergeCell ref="B75:D75"/>
    <mergeCell ref="E75:F75"/>
    <mergeCell ref="B76:D76"/>
    <mergeCell ref="E76:F76"/>
    <mergeCell ref="B83:D83"/>
    <mergeCell ref="E83:F83"/>
    <mergeCell ref="B84:D84"/>
    <mergeCell ref="E84:F84"/>
    <mergeCell ref="B86:D86"/>
    <mergeCell ref="E86:F86"/>
    <mergeCell ref="B80:D80"/>
    <mergeCell ref="E80:F80"/>
    <mergeCell ref="B81:D81"/>
    <mergeCell ref="E81:F81"/>
    <mergeCell ref="B82:D82"/>
    <mergeCell ref="E82:F82"/>
    <mergeCell ref="B85:D85"/>
    <mergeCell ref="E85:F85"/>
    <mergeCell ref="B90:D90"/>
    <mergeCell ref="E90:F90"/>
    <mergeCell ref="B91:D91"/>
    <mergeCell ref="E91:F91"/>
    <mergeCell ref="B92:D92"/>
    <mergeCell ref="E92:F92"/>
    <mergeCell ref="B87:D87"/>
    <mergeCell ref="E87:F87"/>
    <mergeCell ref="B88:D88"/>
    <mergeCell ref="E88:F88"/>
    <mergeCell ref="B89:D89"/>
    <mergeCell ref="E89:F89"/>
    <mergeCell ref="A97:D97"/>
    <mergeCell ref="E97:F97"/>
    <mergeCell ref="A98:D98"/>
    <mergeCell ref="E98:F98"/>
    <mergeCell ref="A101:F101"/>
    <mergeCell ref="C103:D103"/>
    <mergeCell ref="A93:D93"/>
    <mergeCell ref="E93:F93"/>
    <mergeCell ref="A94:D94"/>
    <mergeCell ref="E94:F94"/>
    <mergeCell ref="A95:D95"/>
    <mergeCell ref="E95:F95"/>
    <mergeCell ref="E121:F121"/>
    <mergeCell ref="E124:F124"/>
    <mergeCell ref="C110:D110"/>
    <mergeCell ref="C111:D111"/>
    <mergeCell ref="A114:F114"/>
    <mergeCell ref="D115:E115"/>
    <mergeCell ref="D117:F117"/>
    <mergeCell ref="E120:F120"/>
    <mergeCell ref="B104:D104"/>
    <mergeCell ref="C105:D105"/>
    <mergeCell ref="C106:D106"/>
    <mergeCell ref="C107:D107"/>
    <mergeCell ref="B108:D108"/>
    <mergeCell ref="C109:D109"/>
  </mergeCells>
  <pageMargins left="0.9055118110236221" right="0.51181102362204722" top="0.55118110236220474" bottom="0.35433070866141736" header="0" footer="0"/>
  <pageSetup paperSize="9" scale="93" fitToHeight="10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view="pageBreakPreview" topLeftCell="A65" zoomScale="130" zoomScaleNormal="100" zoomScaleSheetLayoutView="130" workbookViewId="0">
      <selection activeCell="E88" sqref="E88:F88"/>
    </sheetView>
  </sheetViews>
  <sheetFormatPr defaultColWidth="9.140625" defaultRowHeight="15" x14ac:dyDescent="0.25"/>
  <cols>
    <col min="1" max="1" width="5.5703125" style="45" customWidth="1"/>
    <col min="2" max="2" width="22" style="45" customWidth="1"/>
    <col min="3" max="3" width="27.7109375" style="45" customWidth="1"/>
    <col min="4" max="4" width="20.42578125" style="45" customWidth="1"/>
    <col min="5" max="5" width="10.42578125" style="45" customWidth="1"/>
    <col min="6" max="6" width="9.28515625" style="45" customWidth="1"/>
    <col min="7" max="7" width="12.85546875" style="45" customWidth="1"/>
    <col min="8" max="8" width="21.28515625" style="45" customWidth="1"/>
    <col min="9" max="9" width="9.140625" style="45"/>
    <col min="10" max="10" width="13.7109375" style="45" customWidth="1"/>
    <col min="11" max="16384" width="9.140625" style="45"/>
  </cols>
  <sheetData>
    <row r="1" spans="1:7" x14ac:dyDescent="0.25">
      <c r="C1" s="17"/>
      <c r="D1" s="229" t="s">
        <v>0</v>
      </c>
      <c r="E1" s="229"/>
      <c r="F1" s="229"/>
      <c r="G1" s="46"/>
    </row>
    <row r="2" spans="1:7" x14ac:dyDescent="0.25">
      <c r="C2" s="17"/>
      <c r="D2" s="229" t="s">
        <v>157</v>
      </c>
      <c r="E2" s="229"/>
      <c r="F2" s="229"/>
    </row>
    <row r="3" spans="1:7" x14ac:dyDescent="0.25">
      <c r="C3" s="17"/>
      <c r="D3" s="229" t="s">
        <v>154</v>
      </c>
      <c r="E3" s="229"/>
      <c r="F3" s="229"/>
      <c r="G3" s="46"/>
    </row>
    <row r="4" spans="1:7" x14ac:dyDescent="0.25">
      <c r="C4" s="229" t="s">
        <v>187</v>
      </c>
      <c r="D4" s="229"/>
      <c r="E4" s="229"/>
      <c r="F4" s="229"/>
    </row>
    <row r="6" spans="1:7" hidden="1" x14ac:dyDescent="0.25"/>
    <row r="7" spans="1:7" x14ac:dyDescent="0.25">
      <c r="A7" s="141" t="s">
        <v>2</v>
      </c>
      <c r="B7" s="141"/>
      <c r="C7" s="141"/>
      <c r="D7" s="141"/>
      <c r="E7" s="141"/>
      <c r="F7" s="141"/>
    </row>
    <row r="8" spans="1:7" x14ac:dyDescent="0.25">
      <c r="A8" s="141" t="s">
        <v>3</v>
      </c>
      <c r="B8" s="141"/>
      <c r="C8" s="141"/>
      <c r="D8" s="141"/>
      <c r="E8" s="141"/>
      <c r="F8" s="141"/>
    </row>
    <row r="9" spans="1:7" x14ac:dyDescent="0.25">
      <c r="A9" s="141" t="s">
        <v>156</v>
      </c>
      <c r="B9" s="141"/>
      <c r="C9" s="141"/>
      <c r="D9" s="141"/>
      <c r="E9" s="141"/>
      <c r="F9" s="141"/>
    </row>
    <row r="10" spans="1:7" ht="16.5" customHeight="1" x14ac:dyDescent="0.25">
      <c r="A10" s="140" t="s">
        <v>155</v>
      </c>
      <c r="B10" s="140"/>
      <c r="C10" s="140"/>
      <c r="D10" s="140"/>
      <c r="E10" s="140"/>
      <c r="F10" s="140"/>
    </row>
    <row r="11" spans="1:7" ht="9" customHeight="1" x14ac:dyDescent="0.25"/>
    <row r="12" spans="1:7" ht="43.5" customHeight="1" x14ac:dyDescent="0.25">
      <c r="A12" s="44" t="s">
        <v>5</v>
      </c>
      <c r="B12" s="225" t="s">
        <v>7</v>
      </c>
      <c r="C12" s="226"/>
      <c r="D12" s="227"/>
      <c r="E12" s="137" t="s">
        <v>8</v>
      </c>
      <c r="F12" s="137"/>
    </row>
    <row r="13" spans="1:7" ht="13.5" customHeight="1" x14ac:dyDescent="0.25">
      <c r="A13" s="48">
        <v>1</v>
      </c>
      <c r="B13" s="228">
        <v>2</v>
      </c>
      <c r="C13" s="131"/>
      <c r="D13" s="132"/>
      <c r="E13" s="228">
        <v>3</v>
      </c>
      <c r="F13" s="132"/>
    </row>
    <row r="14" spans="1:7" ht="13.5" customHeight="1" x14ac:dyDescent="0.25">
      <c r="A14" s="136" t="s">
        <v>16</v>
      </c>
      <c r="B14" s="136"/>
      <c r="C14" s="136"/>
      <c r="D14" s="136"/>
      <c r="E14" s="136"/>
      <c r="F14" s="136"/>
    </row>
    <row r="15" spans="1:7" x14ac:dyDescent="0.25">
      <c r="A15" s="48">
        <v>1</v>
      </c>
      <c r="B15" s="82" t="s">
        <v>12</v>
      </c>
      <c r="C15" s="83"/>
      <c r="D15" s="84"/>
      <c r="E15" s="133">
        <v>131675.818</v>
      </c>
      <c r="F15" s="134"/>
    </row>
    <row r="16" spans="1:7" x14ac:dyDescent="0.25">
      <c r="A16" s="124" t="s">
        <v>18</v>
      </c>
      <c r="B16" s="125"/>
      <c r="C16" s="125"/>
      <c r="D16" s="125"/>
      <c r="E16" s="144">
        <f>SUM(E15:F15)</f>
        <v>131675.818</v>
      </c>
      <c r="F16" s="145"/>
    </row>
    <row r="17" spans="1:8" x14ac:dyDescent="0.25">
      <c r="A17" s="136" t="s">
        <v>19</v>
      </c>
      <c r="B17" s="136"/>
      <c r="C17" s="136"/>
      <c r="D17" s="136"/>
      <c r="E17" s="136"/>
      <c r="F17" s="136"/>
    </row>
    <row r="18" spans="1:8" ht="15" customHeight="1" x14ac:dyDescent="0.25">
      <c r="A18" s="6">
        <v>2</v>
      </c>
      <c r="B18" s="146" t="s">
        <v>12</v>
      </c>
      <c r="C18" s="146"/>
      <c r="D18" s="146"/>
      <c r="E18" s="142">
        <v>94324.182000000001</v>
      </c>
      <c r="F18" s="142"/>
    </row>
    <row r="19" spans="1:8" x14ac:dyDescent="0.25">
      <c r="A19" s="136" t="s">
        <v>13</v>
      </c>
      <c r="B19" s="136"/>
      <c r="C19" s="136"/>
      <c r="D19" s="136"/>
      <c r="E19" s="147">
        <f>SUM(E18:F18)</f>
        <v>94324.182000000001</v>
      </c>
      <c r="F19" s="147"/>
    </row>
    <row r="20" spans="1:8" x14ac:dyDescent="0.25">
      <c r="A20" s="136" t="s">
        <v>193</v>
      </c>
      <c r="B20" s="136"/>
      <c r="C20" s="136"/>
      <c r="D20" s="136"/>
      <c r="E20" s="136"/>
      <c r="F20" s="136"/>
    </row>
    <row r="21" spans="1:8" s="11" customFormat="1" x14ac:dyDescent="0.25">
      <c r="A21" s="224" t="s">
        <v>9</v>
      </c>
      <c r="B21" s="224"/>
      <c r="C21" s="224"/>
      <c r="D21" s="224"/>
      <c r="E21" s="224"/>
      <c r="F21" s="224"/>
      <c r="H21" s="13"/>
    </row>
    <row r="22" spans="1:8" s="11" customFormat="1" hidden="1" x14ac:dyDescent="0.25">
      <c r="A22" s="10">
        <v>5</v>
      </c>
      <c r="B22" s="221" t="s">
        <v>114</v>
      </c>
      <c r="C22" s="222"/>
      <c r="D22" s="223"/>
      <c r="E22" s="183"/>
      <c r="F22" s="184"/>
      <c r="H22" s="13"/>
    </row>
    <row r="23" spans="1:8" s="11" customFormat="1" hidden="1" x14ac:dyDescent="0.25">
      <c r="A23" s="10"/>
      <c r="B23" s="200"/>
      <c r="C23" s="201"/>
      <c r="D23" s="202"/>
      <c r="E23" s="219">
        <v>0</v>
      </c>
      <c r="F23" s="220"/>
      <c r="H23" s="13"/>
    </row>
    <row r="24" spans="1:8" s="11" customFormat="1" hidden="1" x14ac:dyDescent="0.25">
      <c r="A24" s="10"/>
      <c r="B24" s="200"/>
      <c r="C24" s="201"/>
      <c r="D24" s="202"/>
      <c r="E24" s="219">
        <v>0</v>
      </c>
      <c r="F24" s="220"/>
      <c r="H24" s="13"/>
    </row>
    <row r="25" spans="1:8" s="11" customFormat="1" ht="15.75" x14ac:dyDescent="0.25">
      <c r="A25" s="10" t="s">
        <v>158</v>
      </c>
      <c r="B25" s="190" t="s">
        <v>115</v>
      </c>
      <c r="C25" s="191"/>
      <c r="D25" s="192"/>
      <c r="E25" s="219"/>
      <c r="F25" s="220"/>
      <c r="H25" s="13"/>
    </row>
    <row r="26" spans="1:8" s="11" customFormat="1" x14ac:dyDescent="0.25">
      <c r="A26" s="10" t="s">
        <v>159</v>
      </c>
      <c r="B26" s="200" t="s">
        <v>99</v>
      </c>
      <c r="C26" s="201"/>
      <c r="D26" s="202"/>
      <c r="E26" s="212">
        <f>9370-221.78203</f>
        <v>9148.2179699999997</v>
      </c>
      <c r="F26" s="213"/>
      <c r="H26" s="13"/>
    </row>
    <row r="27" spans="1:8" s="11" customFormat="1" x14ac:dyDescent="0.25">
      <c r="A27" s="10" t="s">
        <v>160</v>
      </c>
      <c r="B27" s="200" t="s">
        <v>100</v>
      </c>
      <c r="C27" s="201"/>
      <c r="D27" s="202"/>
      <c r="E27" s="212">
        <f>54420-15866.31308</f>
        <v>38553.68692</v>
      </c>
      <c r="F27" s="213"/>
      <c r="H27" s="13"/>
    </row>
    <row r="28" spans="1:8" s="11" customFormat="1" ht="30" customHeight="1" x14ac:dyDescent="0.25">
      <c r="A28" s="10" t="s">
        <v>161</v>
      </c>
      <c r="B28" s="200" t="s">
        <v>101</v>
      </c>
      <c r="C28" s="201"/>
      <c r="D28" s="202"/>
      <c r="E28" s="212">
        <f>19680-1770.4549</f>
        <v>17909.545099999999</v>
      </c>
      <c r="F28" s="213"/>
      <c r="H28" s="13"/>
    </row>
    <row r="29" spans="1:8" s="11" customFormat="1" x14ac:dyDescent="0.25">
      <c r="A29" s="10" t="s">
        <v>162</v>
      </c>
      <c r="B29" s="200" t="s">
        <v>102</v>
      </c>
      <c r="C29" s="201"/>
      <c r="D29" s="202"/>
      <c r="E29" s="212">
        <f>4848-728.1876</f>
        <v>4119.8123999999998</v>
      </c>
      <c r="F29" s="213"/>
      <c r="H29" s="13"/>
    </row>
    <row r="30" spans="1:8" s="11" customFormat="1" x14ac:dyDescent="0.25">
      <c r="A30" s="10" t="s">
        <v>163</v>
      </c>
      <c r="B30" s="200" t="s">
        <v>103</v>
      </c>
      <c r="C30" s="201"/>
      <c r="D30" s="202"/>
      <c r="E30" s="212">
        <f>32301-1251.79014</f>
        <v>31049.209859999999</v>
      </c>
      <c r="F30" s="213"/>
      <c r="H30" s="13"/>
    </row>
    <row r="31" spans="1:8" s="11" customFormat="1" ht="30" customHeight="1" x14ac:dyDescent="0.25">
      <c r="A31" s="10" t="s">
        <v>164</v>
      </c>
      <c r="B31" s="200" t="s">
        <v>104</v>
      </c>
      <c r="C31" s="201"/>
      <c r="D31" s="202"/>
      <c r="E31" s="212">
        <f>12052-1538.93782</f>
        <v>10513.062180000001</v>
      </c>
      <c r="F31" s="213"/>
      <c r="H31" s="13"/>
    </row>
    <row r="32" spans="1:8" s="11" customFormat="1" ht="30" hidden="1" customHeight="1" x14ac:dyDescent="0.25">
      <c r="A32" s="10" t="s">
        <v>64</v>
      </c>
      <c r="B32" s="200" t="s">
        <v>105</v>
      </c>
      <c r="C32" s="201"/>
      <c r="D32" s="202"/>
      <c r="E32" s="212">
        <v>0</v>
      </c>
      <c r="F32" s="213"/>
      <c r="H32" s="13"/>
    </row>
    <row r="33" spans="1:8" s="11" customFormat="1" x14ac:dyDescent="0.25">
      <c r="A33" s="10" t="s">
        <v>165</v>
      </c>
      <c r="B33" s="200" t="s">
        <v>106</v>
      </c>
      <c r="C33" s="201"/>
      <c r="D33" s="202"/>
      <c r="E33" s="212">
        <f>20000-12449.26592</f>
        <v>7550.7340800000002</v>
      </c>
      <c r="F33" s="213"/>
      <c r="H33" s="13"/>
    </row>
    <row r="34" spans="1:8" s="11" customFormat="1" x14ac:dyDescent="0.25">
      <c r="A34" s="10" t="s">
        <v>166</v>
      </c>
      <c r="B34" s="200" t="s">
        <v>107</v>
      </c>
      <c r="C34" s="201"/>
      <c r="D34" s="202"/>
      <c r="E34" s="212">
        <f>5700-502.73544</f>
        <v>5197.2645599999996</v>
      </c>
      <c r="F34" s="213"/>
      <c r="H34" s="13"/>
    </row>
    <row r="35" spans="1:8" s="11" customFormat="1" x14ac:dyDescent="0.25">
      <c r="A35" s="10" t="s">
        <v>167</v>
      </c>
      <c r="B35" s="200" t="s">
        <v>108</v>
      </c>
      <c r="C35" s="201"/>
      <c r="D35" s="202"/>
      <c r="E35" s="212">
        <f>24130-12961.66188</f>
        <v>11168.33812</v>
      </c>
      <c r="F35" s="213"/>
      <c r="H35" s="13"/>
    </row>
    <row r="36" spans="1:8" s="11" customFormat="1" x14ac:dyDescent="0.25">
      <c r="A36" s="10" t="s">
        <v>168</v>
      </c>
      <c r="B36" s="200" t="s">
        <v>109</v>
      </c>
      <c r="C36" s="201"/>
      <c r="D36" s="202"/>
      <c r="E36" s="212">
        <f>30000-13598.73435</f>
        <v>16401.265650000001</v>
      </c>
      <c r="F36" s="213"/>
      <c r="H36" s="13"/>
    </row>
    <row r="37" spans="1:8" s="11" customFormat="1" ht="45" customHeight="1" x14ac:dyDescent="0.25">
      <c r="A37" s="10" t="s">
        <v>169</v>
      </c>
      <c r="B37" s="200" t="s">
        <v>110</v>
      </c>
      <c r="C37" s="201"/>
      <c r="D37" s="202"/>
      <c r="E37" s="198">
        <f>19980.633-1685.07659</f>
        <v>18295.556410000001</v>
      </c>
      <c r="F37" s="199"/>
      <c r="H37" s="13"/>
    </row>
    <row r="38" spans="1:8" s="11" customFormat="1" ht="30" customHeight="1" x14ac:dyDescent="0.25">
      <c r="A38" s="10" t="s">
        <v>170</v>
      </c>
      <c r="B38" s="200" t="s">
        <v>111</v>
      </c>
      <c r="C38" s="201"/>
      <c r="D38" s="202"/>
      <c r="E38" s="212">
        <f>2700-761.50048</f>
        <v>1938.4995199999998</v>
      </c>
      <c r="F38" s="213"/>
      <c r="H38" s="13"/>
    </row>
    <row r="39" spans="1:8" s="11" customFormat="1" ht="30" customHeight="1" x14ac:dyDescent="0.25">
      <c r="A39" s="10" t="s">
        <v>171</v>
      </c>
      <c r="B39" s="200" t="s">
        <v>112</v>
      </c>
      <c r="C39" s="201"/>
      <c r="D39" s="202"/>
      <c r="E39" s="212">
        <f>4945-276.89784</f>
        <v>4668.1021600000004</v>
      </c>
      <c r="F39" s="213"/>
      <c r="H39" s="13"/>
    </row>
    <row r="40" spans="1:8" s="11" customFormat="1" x14ac:dyDescent="0.25">
      <c r="A40" s="10" t="s">
        <v>172</v>
      </c>
      <c r="B40" s="200" t="s">
        <v>113</v>
      </c>
      <c r="C40" s="201"/>
      <c r="D40" s="202"/>
      <c r="E40" s="212">
        <f>860-30.77978</f>
        <v>829.22022000000004</v>
      </c>
      <c r="F40" s="213"/>
      <c r="H40" s="13"/>
    </row>
    <row r="41" spans="1:8" s="11" customFormat="1" x14ac:dyDescent="0.25">
      <c r="A41" s="10" t="s">
        <v>173</v>
      </c>
      <c r="B41" s="200" t="s">
        <v>50</v>
      </c>
      <c r="C41" s="201"/>
      <c r="D41" s="202"/>
      <c r="E41" s="212">
        <f>13846-92.23624</f>
        <v>13753.76376</v>
      </c>
      <c r="F41" s="213"/>
      <c r="H41" s="13"/>
    </row>
    <row r="42" spans="1:8" s="11" customFormat="1" x14ac:dyDescent="0.25">
      <c r="A42" s="10" t="s">
        <v>174</v>
      </c>
      <c r="B42" s="200" t="s">
        <v>51</v>
      </c>
      <c r="C42" s="201"/>
      <c r="D42" s="202"/>
      <c r="E42" s="212">
        <f>4930-3.07402</f>
        <v>4926.92598</v>
      </c>
      <c r="F42" s="213"/>
      <c r="H42" s="13"/>
    </row>
    <row r="43" spans="1:8" s="11" customFormat="1" x14ac:dyDescent="0.25">
      <c r="A43" s="12">
        <v>4</v>
      </c>
      <c r="B43" s="193" t="s">
        <v>53</v>
      </c>
      <c r="C43" s="194"/>
      <c r="D43" s="195"/>
      <c r="E43" s="212"/>
      <c r="F43" s="213"/>
      <c r="H43" s="13"/>
    </row>
    <row r="44" spans="1:8" s="11" customFormat="1" x14ac:dyDescent="0.25">
      <c r="A44" s="10" t="s">
        <v>175</v>
      </c>
      <c r="B44" s="185" t="s">
        <v>116</v>
      </c>
      <c r="C44" s="186"/>
      <c r="D44" s="187"/>
      <c r="E44" s="212">
        <f>46080-5199.18084</f>
        <v>40880.819159999999</v>
      </c>
      <c r="F44" s="213"/>
      <c r="H44" s="13"/>
    </row>
    <row r="45" spans="1:8" s="11" customFormat="1" hidden="1" x14ac:dyDescent="0.25">
      <c r="A45" s="10" t="s">
        <v>76</v>
      </c>
      <c r="B45" s="185" t="s">
        <v>117</v>
      </c>
      <c r="C45" s="186"/>
      <c r="D45" s="187"/>
      <c r="E45" s="212">
        <v>0</v>
      </c>
      <c r="F45" s="213"/>
      <c r="H45" s="13"/>
    </row>
    <row r="46" spans="1:8" s="11" customFormat="1" hidden="1" x14ac:dyDescent="0.25">
      <c r="A46" s="10" t="s">
        <v>77</v>
      </c>
      <c r="B46" s="185" t="s">
        <v>118</v>
      </c>
      <c r="C46" s="186"/>
      <c r="D46" s="187"/>
      <c r="E46" s="212">
        <v>0</v>
      </c>
      <c r="F46" s="213"/>
      <c r="H46" s="13"/>
    </row>
    <row r="47" spans="1:8" s="11" customFormat="1" x14ac:dyDescent="0.25">
      <c r="A47" s="10"/>
      <c r="B47" s="214" t="s">
        <v>20</v>
      </c>
      <c r="C47" s="215"/>
      <c r="D47" s="216"/>
      <c r="E47" s="217">
        <f>SUM(E22:F46)</f>
        <v>236904.02405000001</v>
      </c>
      <c r="F47" s="218"/>
      <c r="H47" s="13"/>
    </row>
    <row r="48" spans="1:8" s="11" customFormat="1" x14ac:dyDescent="0.25">
      <c r="A48" s="190" t="s">
        <v>54</v>
      </c>
      <c r="B48" s="191"/>
      <c r="C48" s="191"/>
      <c r="D48" s="192"/>
      <c r="E48" s="183"/>
      <c r="F48" s="184"/>
      <c r="H48" s="13"/>
    </row>
    <row r="49" spans="1:8" s="11" customFormat="1" ht="27" customHeight="1" x14ac:dyDescent="0.25">
      <c r="A49" s="12">
        <v>5</v>
      </c>
      <c r="B49" s="174" t="s">
        <v>134</v>
      </c>
      <c r="C49" s="175"/>
      <c r="D49" s="176"/>
      <c r="E49" s="212">
        <f>58020-17778.38448</f>
        <v>40241.615519999999</v>
      </c>
      <c r="F49" s="213"/>
      <c r="H49" s="13">
        <f>E47+E49+E51+E53+E55+E58</f>
        <v>316672.48161000002</v>
      </c>
    </row>
    <row r="50" spans="1:8" s="11" customFormat="1" x14ac:dyDescent="0.25">
      <c r="A50" s="180" t="s">
        <v>55</v>
      </c>
      <c r="B50" s="181"/>
      <c r="C50" s="181"/>
      <c r="D50" s="182"/>
      <c r="E50" s="183"/>
      <c r="F50" s="184"/>
      <c r="H50" s="13"/>
    </row>
    <row r="51" spans="1:8" s="11" customFormat="1" x14ac:dyDescent="0.25">
      <c r="A51" s="12">
        <v>6</v>
      </c>
      <c r="B51" s="185" t="s">
        <v>135</v>
      </c>
      <c r="C51" s="186"/>
      <c r="D51" s="187"/>
      <c r="E51" s="212">
        <v>3016.489</v>
      </c>
      <c r="F51" s="213"/>
      <c r="H51" s="13" t="e">
        <f>#REF!+#REF!</f>
        <v>#REF!</v>
      </c>
    </row>
    <row r="52" spans="1:8" s="11" customFormat="1" ht="15" customHeight="1" x14ac:dyDescent="0.25">
      <c r="A52" s="180" t="s">
        <v>137</v>
      </c>
      <c r="B52" s="181"/>
      <c r="C52" s="181"/>
      <c r="D52" s="182"/>
      <c r="E52" s="212"/>
      <c r="F52" s="213"/>
      <c r="H52" s="13"/>
    </row>
    <row r="53" spans="1:8" s="11" customFormat="1" x14ac:dyDescent="0.25">
      <c r="A53" s="12">
        <v>7</v>
      </c>
      <c r="B53" s="174" t="s">
        <v>56</v>
      </c>
      <c r="C53" s="175"/>
      <c r="D53" s="176"/>
      <c r="E53" s="212">
        <f>22553.339-14.98146</f>
        <v>22538.357540000001</v>
      </c>
      <c r="F53" s="213"/>
      <c r="H53" s="13"/>
    </row>
    <row r="54" spans="1:8" s="11" customFormat="1" x14ac:dyDescent="0.25">
      <c r="A54" s="180" t="s">
        <v>138</v>
      </c>
      <c r="B54" s="181"/>
      <c r="C54" s="181"/>
      <c r="D54" s="182"/>
      <c r="E54" s="183"/>
      <c r="F54" s="184"/>
      <c r="H54" s="13"/>
    </row>
    <row r="55" spans="1:8" s="11" customFormat="1" x14ac:dyDescent="0.25">
      <c r="A55" s="12">
        <v>8</v>
      </c>
      <c r="B55" s="185" t="s">
        <v>139</v>
      </c>
      <c r="C55" s="186"/>
      <c r="D55" s="187"/>
      <c r="E55" s="212">
        <v>6751.9</v>
      </c>
      <c r="F55" s="213"/>
      <c r="H55" s="13"/>
    </row>
    <row r="56" spans="1:8" s="11" customFormat="1" ht="15" hidden="1" customHeight="1" x14ac:dyDescent="0.25">
      <c r="A56" s="12">
        <v>13</v>
      </c>
      <c r="B56" s="174" t="s">
        <v>140</v>
      </c>
      <c r="C56" s="175"/>
      <c r="D56" s="176"/>
      <c r="E56" s="212">
        <v>0</v>
      </c>
      <c r="F56" s="213"/>
      <c r="H56" s="13"/>
    </row>
    <row r="57" spans="1:8" s="11" customFormat="1" x14ac:dyDescent="0.25">
      <c r="A57" s="180" t="s">
        <v>149</v>
      </c>
      <c r="B57" s="181"/>
      <c r="C57" s="181"/>
      <c r="D57" s="182"/>
      <c r="E57" s="212"/>
      <c r="F57" s="213"/>
      <c r="H57" s="13"/>
    </row>
    <row r="58" spans="1:8" s="11" customFormat="1" x14ac:dyDescent="0.25">
      <c r="A58" s="12">
        <v>9</v>
      </c>
      <c r="B58" s="174" t="s">
        <v>141</v>
      </c>
      <c r="C58" s="175"/>
      <c r="D58" s="176"/>
      <c r="E58" s="212">
        <f>7510-289.9045</f>
        <v>7220.0955000000004</v>
      </c>
      <c r="F58" s="213"/>
      <c r="H58" s="13"/>
    </row>
    <row r="59" spans="1:8" s="11" customFormat="1" x14ac:dyDescent="0.25">
      <c r="A59" s="10"/>
      <c r="B59" s="214" t="s">
        <v>20</v>
      </c>
      <c r="C59" s="215"/>
      <c r="D59" s="216"/>
      <c r="E59" s="183">
        <f>SUM(E48:F58)</f>
        <v>79768.457559999995</v>
      </c>
      <c r="F59" s="184"/>
      <c r="H59" s="13">
        <f>E47+E59</f>
        <v>316672.48161000002</v>
      </c>
    </row>
    <row r="60" spans="1:8" x14ac:dyDescent="0.25">
      <c r="A60" s="136" t="s">
        <v>15</v>
      </c>
      <c r="B60" s="136"/>
      <c r="C60" s="136"/>
      <c r="D60" s="136"/>
      <c r="E60" s="143">
        <f>E47+E59</f>
        <v>316672.48161000002</v>
      </c>
      <c r="F60" s="143"/>
    </row>
    <row r="61" spans="1:8" x14ac:dyDescent="0.25">
      <c r="A61" s="124" t="s">
        <v>196</v>
      </c>
      <c r="B61" s="125"/>
      <c r="C61" s="125"/>
      <c r="D61" s="125"/>
      <c r="E61" s="125"/>
      <c r="F61" s="126"/>
    </row>
    <row r="62" spans="1:8" ht="16.5" customHeight="1" x14ac:dyDescent="0.25">
      <c r="A62" s="43" t="s">
        <v>176</v>
      </c>
      <c r="B62" s="103" t="s">
        <v>115</v>
      </c>
      <c r="C62" s="104"/>
      <c r="D62" s="105"/>
      <c r="E62" s="210"/>
      <c r="F62" s="211"/>
    </row>
    <row r="63" spans="1:8" s="11" customFormat="1" x14ac:dyDescent="0.25">
      <c r="A63" s="10" t="s">
        <v>82</v>
      </c>
      <c r="B63" s="200" t="s">
        <v>99</v>
      </c>
      <c r="C63" s="201"/>
      <c r="D63" s="202"/>
      <c r="E63" s="188">
        <f>641.3886</f>
        <v>641.3886</v>
      </c>
      <c r="F63" s="189"/>
      <c r="G63" s="30">
        <v>221.78202999999999</v>
      </c>
      <c r="H63" s="31"/>
    </row>
    <row r="64" spans="1:8" s="11" customFormat="1" ht="15" hidden="1" customHeight="1" x14ac:dyDescent="0.25">
      <c r="A64" s="10"/>
      <c r="B64" s="205" t="s">
        <v>100</v>
      </c>
      <c r="C64" s="206"/>
      <c r="D64" s="207"/>
      <c r="E64" s="208"/>
      <c r="F64" s="209"/>
      <c r="G64" s="32"/>
      <c r="H64" s="33"/>
    </row>
    <row r="65" spans="1:8" s="11" customFormat="1" ht="30" customHeight="1" x14ac:dyDescent="0.25">
      <c r="A65" s="10" t="s">
        <v>177</v>
      </c>
      <c r="B65" s="200" t="s">
        <v>101</v>
      </c>
      <c r="C65" s="201"/>
      <c r="D65" s="202"/>
      <c r="E65" s="188">
        <f>971.00312+632.59082</f>
        <v>1603.59394</v>
      </c>
      <c r="F65" s="189"/>
      <c r="G65" s="30">
        <v>1770.4549</v>
      </c>
      <c r="H65" s="31"/>
    </row>
    <row r="66" spans="1:8" s="11" customFormat="1" x14ac:dyDescent="0.25">
      <c r="A66" s="10" t="s">
        <v>198</v>
      </c>
      <c r="B66" s="200" t="s">
        <v>102</v>
      </c>
      <c r="C66" s="201"/>
      <c r="D66" s="202"/>
      <c r="E66" s="188">
        <f>2715.3216</f>
        <v>2715.3216000000002</v>
      </c>
      <c r="F66" s="189"/>
      <c r="G66" s="30">
        <v>728.18759999999997</v>
      </c>
      <c r="H66" s="31"/>
    </row>
    <row r="67" spans="1:8" s="11" customFormat="1" hidden="1" x14ac:dyDescent="0.25">
      <c r="A67" s="10"/>
      <c r="B67" s="200" t="s">
        <v>103</v>
      </c>
      <c r="C67" s="201"/>
      <c r="D67" s="202"/>
      <c r="E67" s="188"/>
      <c r="F67" s="189"/>
      <c r="G67" s="30">
        <v>1251.7901400000001</v>
      </c>
      <c r="H67" s="31"/>
    </row>
    <row r="68" spans="1:8" s="11" customFormat="1" ht="30" customHeight="1" x14ac:dyDescent="0.25">
      <c r="A68" s="10" t="s">
        <v>199</v>
      </c>
      <c r="B68" s="200" t="s">
        <v>104</v>
      </c>
      <c r="C68" s="201"/>
      <c r="D68" s="202"/>
      <c r="E68" s="188">
        <f>11779.40664</f>
        <v>11779.406639999999</v>
      </c>
      <c r="F68" s="189"/>
      <c r="G68" s="30">
        <v>1538.9378200000001</v>
      </c>
      <c r="H68" s="31"/>
    </row>
    <row r="69" spans="1:8" s="11" customFormat="1" ht="30" hidden="1" customHeight="1" x14ac:dyDescent="0.25">
      <c r="A69" s="10"/>
      <c r="B69" s="205" t="s">
        <v>105</v>
      </c>
      <c r="C69" s="206"/>
      <c r="D69" s="207"/>
      <c r="E69" s="208"/>
      <c r="F69" s="209"/>
      <c r="G69" s="32"/>
      <c r="H69" s="33"/>
    </row>
    <row r="70" spans="1:8" s="11" customFormat="1" ht="15" hidden="1" customHeight="1" x14ac:dyDescent="0.25">
      <c r="A70" s="10"/>
      <c r="B70" s="205" t="s">
        <v>106</v>
      </c>
      <c r="C70" s="206"/>
      <c r="D70" s="207"/>
      <c r="E70" s="208"/>
      <c r="F70" s="209"/>
      <c r="G70" s="32"/>
      <c r="H70" s="33"/>
    </row>
    <row r="71" spans="1:8" s="11" customFormat="1" hidden="1" x14ac:dyDescent="0.25">
      <c r="A71" s="10"/>
      <c r="B71" s="200" t="s">
        <v>107</v>
      </c>
      <c r="C71" s="201"/>
      <c r="D71" s="202"/>
      <c r="E71" s="188"/>
      <c r="F71" s="189"/>
      <c r="G71" s="30">
        <v>502.73543999999998</v>
      </c>
      <c r="H71" s="31"/>
    </row>
    <row r="72" spans="1:8" s="11" customFormat="1" hidden="1" x14ac:dyDescent="0.25">
      <c r="A72" s="10"/>
      <c r="B72" s="200" t="s">
        <v>108</v>
      </c>
      <c r="C72" s="201"/>
      <c r="D72" s="202"/>
      <c r="E72" s="188"/>
      <c r="F72" s="189"/>
      <c r="G72" s="30">
        <v>12961.66188</v>
      </c>
      <c r="H72" s="31"/>
    </row>
    <row r="73" spans="1:8" s="11" customFormat="1" x14ac:dyDescent="0.25">
      <c r="A73" s="10" t="s">
        <v>200</v>
      </c>
      <c r="B73" s="200" t="s">
        <v>109</v>
      </c>
      <c r="C73" s="201"/>
      <c r="D73" s="202"/>
      <c r="E73" s="188">
        <f>43.0405+502.63752+187.58815+1449.66775</f>
        <v>2182.9339199999999</v>
      </c>
      <c r="F73" s="189"/>
      <c r="G73" s="30">
        <v>13598.734350000001</v>
      </c>
      <c r="H73" s="31"/>
    </row>
    <row r="74" spans="1:8" s="11" customFormat="1" ht="45" hidden="1" customHeight="1" x14ac:dyDescent="0.25">
      <c r="A74" s="10"/>
      <c r="B74" s="200" t="s">
        <v>110</v>
      </c>
      <c r="C74" s="201"/>
      <c r="D74" s="202"/>
      <c r="E74" s="203"/>
      <c r="F74" s="204"/>
      <c r="G74" s="34">
        <v>1685.0765899999999</v>
      </c>
      <c r="H74" s="35"/>
    </row>
    <row r="75" spans="1:8" s="11" customFormat="1" ht="30" customHeight="1" x14ac:dyDescent="0.25">
      <c r="A75" s="10" t="s">
        <v>201</v>
      </c>
      <c r="B75" s="200" t="s">
        <v>111</v>
      </c>
      <c r="C75" s="201"/>
      <c r="D75" s="202"/>
      <c r="E75" s="188">
        <f>7789.27794+170.59024+4111.00082</f>
        <v>12070.868999999999</v>
      </c>
      <c r="F75" s="189"/>
      <c r="G75" s="30">
        <v>761.50048000000004</v>
      </c>
      <c r="H75" s="31"/>
    </row>
    <row r="76" spans="1:8" s="11" customFormat="1" ht="28.5" hidden="1" customHeight="1" x14ac:dyDescent="0.25">
      <c r="A76" s="10"/>
      <c r="B76" s="200" t="s">
        <v>112</v>
      </c>
      <c r="C76" s="201"/>
      <c r="D76" s="202"/>
      <c r="E76" s="188"/>
      <c r="F76" s="189"/>
      <c r="G76" s="30">
        <v>276.89783999999997</v>
      </c>
      <c r="H76" s="31"/>
    </row>
    <row r="77" spans="1:8" s="11" customFormat="1" x14ac:dyDescent="0.25">
      <c r="A77" s="10" t="s">
        <v>203</v>
      </c>
      <c r="B77" s="200" t="s">
        <v>205</v>
      </c>
      <c r="C77" s="201"/>
      <c r="D77" s="202"/>
      <c r="E77" s="188">
        <f>538.7762+252.58372</f>
        <v>791.35991999999999</v>
      </c>
      <c r="F77" s="189"/>
      <c r="G77" s="30">
        <v>30.779779999999999</v>
      </c>
      <c r="H77" s="31"/>
    </row>
    <row r="78" spans="1:8" s="11" customFormat="1" hidden="1" x14ac:dyDescent="0.25">
      <c r="A78" s="10"/>
      <c r="B78" s="200" t="s">
        <v>50</v>
      </c>
      <c r="C78" s="201"/>
      <c r="D78" s="202"/>
      <c r="E78" s="188"/>
      <c r="F78" s="189"/>
      <c r="G78" s="30">
        <v>92.236239999999995</v>
      </c>
      <c r="H78" s="31"/>
    </row>
    <row r="79" spans="1:8" s="11" customFormat="1" x14ac:dyDescent="0.25">
      <c r="A79" s="10" t="s">
        <v>204</v>
      </c>
      <c r="B79" s="200" t="s">
        <v>51</v>
      </c>
      <c r="C79" s="201"/>
      <c r="D79" s="202"/>
      <c r="E79" s="188">
        <v>3830.96558</v>
      </c>
      <c r="F79" s="189"/>
      <c r="G79" s="30">
        <v>3.07402</v>
      </c>
      <c r="H79" s="31"/>
    </row>
    <row r="80" spans="1:8" s="11" customFormat="1" x14ac:dyDescent="0.25">
      <c r="A80" s="12">
        <v>11</v>
      </c>
      <c r="B80" s="193" t="s">
        <v>53</v>
      </c>
      <c r="C80" s="194"/>
      <c r="D80" s="195"/>
      <c r="E80" s="196"/>
      <c r="F80" s="197"/>
      <c r="G80" s="30"/>
      <c r="H80" s="31"/>
    </row>
    <row r="81" spans="1:8" s="11" customFormat="1" x14ac:dyDescent="0.25">
      <c r="A81" s="10" t="s">
        <v>178</v>
      </c>
      <c r="B81" s="185" t="s">
        <v>116</v>
      </c>
      <c r="C81" s="186"/>
      <c r="D81" s="187"/>
      <c r="E81" s="188">
        <f>4646.48482+550.59626+1369.96348</f>
        <v>6567.0445600000003</v>
      </c>
      <c r="F81" s="189"/>
      <c r="G81" s="30">
        <v>5199.18084</v>
      </c>
      <c r="H81" s="31"/>
    </row>
    <row r="82" spans="1:8" s="11" customFormat="1" hidden="1" x14ac:dyDescent="0.25">
      <c r="A82" s="10" t="s">
        <v>179</v>
      </c>
      <c r="B82" s="185" t="s">
        <v>117</v>
      </c>
      <c r="C82" s="186"/>
      <c r="D82" s="187"/>
      <c r="E82" s="188"/>
      <c r="F82" s="189"/>
      <c r="G82" s="30">
        <v>2300</v>
      </c>
      <c r="H82" s="31"/>
    </row>
    <row r="83" spans="1:8" s="11" customFormat="1" hidden="1" x14ac:dyDescent="0.25">
      <c r="A83" s="10" t="s">
        <v>180</v>
      </c>
      <c r="B83" s="185" t="s">
        <v>118</v>
      </c>
      <c r="C83" s="186"/>
      <c r="D83" s="187"/>
      <c r="E83" s="188"/>
      <c r="F83" s="189"/>
      <c r="G83" s="30">
        <v>320</v>
      </c>
      <c r="H83" s="31"/>
    </row>
    <row r="84" spans="1:8" s="11" customFormat="1" ht="15" customHeight="1" x14ac:dyDescent="0.25">
      <c r="A84" s="14" t="s">
        <v>206</v>
      </c>
      <c r="B84" s="190" t="s">
        <v>210</v>
      </c>
      <c r="C84" s="191"/>
      <c r="D84" s="192"/>
      <c r="E84" s="183"/>
      <c r="F84" s="184"/>
      <c r="G84" s="36"/>
      <c r="H84" s="37"/>
    </row>
    <row r="85" spans="1:8" s="11" customFormat="1" x14ac:dyDescent="0.25">
      <c r="A85" s="10" t="s">
        <v>181</v>
      </c>
      <c r="B85" s="174" t="s">
        <v>208</v>
      </c>
      <c r="C85" s="175"/>
      <c r="D85" s="176"/>
      <c r="E85" s="198">
        <v>1137.1258800000001</v>
      </c>
      <c r="F85" s="199"/>
      <c r="G85" s="36"/>
      <c r="H85" s="37"/>
    </row>
    <row r="86" spans="1:8" s="11" customFormat="1" ht="28.5" customHeight="1" x14ac:dyDescent="0.25">
      <c r="A86" s="10" t="s">
        <v>182</v>
      </c>
      <c r="B86" s="174" t="s">
        <v>209</v>
      </c>
      <c r="C86" s="175"/>
      <c r="D86" s="176"/>
      <c r="E86" s="177">
        <f>3428.7614+9698.7386</f>
        <v>13127.5</v>
      </c>
      <c r="F86" s="178"/>
      <c r="G86" s="38">
        <v>17778.384480000001</v>
      </c>
      <c r="H86" s="39"/>
    </row>
    <row r="87" spans="1:8" s="11" customFormat="1" ht="15" customHeight="1" x14ac:dyDescent="0.25">
      <c r="A87" s="15" t="s">
        <v>183</v>
      </c>
      <c r="B87" s="179" t="s">
        <v>151</v>
      </c>
      <c r="C87" s="179"/>
      <c r="D87" s="179"/>
      <c r="E87" s="177"/>
      <c r="F87" s="178"/>
      <c r="G87" s="38"/>
      <c r="H87" s="39"/>
    </row>
    <row r="88" spans="1:8" s="11" customFormat="1" x14ac:dyDescent="0.25">
      <c r="A88" s="10" t="s">
        <v>184</v>
      </c>
      <c r="B88" s="174" t="s">
        <v>56</v>
      </c>
      <c r="C88" s="175"/>
      <c r="D88" s="176"/>
      <c r="E88" s="177">
        <f>142.18292+595.68052</f>
        <v>737.86343999999997</v>
      </c>
      <c r="F88" s="178"/>
      <c r="G88" s="38">
        <v>14.98146</v>
      </c>
      <c r="H88" s="39"/>
    </row>
    <row r="89" spans="1:8" s="11" customFormat="1" ht="15" hidden="1" customHeight="1" x14ac:dyDescent="0.25">
      <c r="A89" s="42"/>
      <c r="B89" s="180" t="s">
        <v>152</v>
      </c>
      <c r="C89" s="181"/>
      <c r="D89" s="182"/>
      <c r="E89" s="183"/>
      <c r="F89" s="184"/>
      <c r="G89" s="36"/>
      <c r="H89" s="37"/>
    </row>
    <row r="90" spans="1:8" s="11" customFormat="1" ht="15" hidden="1" customHeight="1" x14ac:dyDescent="0.25">
      <c r="A90" s="42"/>
      <c r="B90" s="174" t="s">
        <v>140</v>
      </c>
      <c r="C90" s="175"/>
      <c r="D90" s="176"/>
      <c r="E90" s="177"/>
      <c r="F90" s="178"/>
      <c r="G90" s="38">
        <v>920</v>
      </c>
      <c r="H90" s="39"/>
    </row>
    <row r="91" spans="1:8" s="11" customFormat="1" x14ac:dyDescent="0.25">
      <c r="A91" s="15" t="s">
        <v>185</v>
      </c>
      <c r="B91" s="179" t="s">
        <v>153</v>
      </c>
      <c r="C91" s="179"/>
      <c r="D91" s="179"/>
      <c r="E91" s="177"/>
      <c r="F91" s="178"/>
      <c r="G91" s="38"/>
      <c r="H91" s="39"/>
    </row>
    <row r="92" spans="1:8" s="11" customFormat="1" x14ac:dyDescent="0.25">
      <c r="A92" s="10" t="s">
        <v>186</v>
      </c>
      <c r="B92" s="174" t="s">
        <v>141</v>
      </c>
      <c r="C92" s="175"/>
      <c r="D92" s="176"/>
      <c r="E92" s="177">
        <f>766.16456+2690.46844</f>
        <v>3456.6330000000003</v>
      </c>
      <c r="F92" s="178"/>
      <c r="G92" s="38">
        <v>289.90449999999998</v>
      </c>
      <c r="H92" s="39"/>
    </row>
    <row r="93" spans="1:8" ht="15" customHeight="1" x14ac:dyDescent="0.25">
      <c r="A93" s="136" t="s">
        <v>202</v>
      </c>
      <c r="B93" s="136"/>
      <c r="C93" s="136"/>
      <c r="D93" s="136"/>
      <c r="E93" s="170">
        <f>SUM(E62:F92)</f>
        <v>60642.006080000006</v>
      </c>
      <c r="F93" s="171"/>
      <c r="G93" s="40">
        <f>SUM(G62:H92)</f>
        <v>62246.300389999997</v>
      </c>
      <c r="H93" s="41"/>
    </row>
    <row r="94" spans="1:8" x14ac:dyDescent="0.25">
      <c r="A94" s="124"/>
      <c r="B94" s="125"/>
      <c r="C94" s="125"/>
      <c r="D94" s="126"/>
      <c r="E94" s="172"/>
      <c r="F94" s="173"/>
      <c r="H94" s="9"/>
    </row>
    <row r="95" spans="1:8" x14ac:dyDescent="0.25">
      <c r="A95" s="124" t="s">
        <v>197</v>
      </c>
      <c r="B95" s="125"/>
      <c r="C95" s="125"/>
      <c r="D95" s="126"/>
      <c r="E95" s="172">
        <f>E16+E19+E60+E93</f>
        <v>603314.48768999998</v>
      </c>
      <c r="F95" s="173"/>
      <c r="H95" s="9"/>
    </row>
    <row r="96" spans="1:8" ht="9" customHeight="1" x14ac:dyDescent="0.25">
      <c r="A96" s="19"/>
      <c r="B96" s="19"/>
      <c r="C96" s="19"/>
      <c r="D96" s="19"/>
      <c r="E96" s="20"/>
      <c r="F96" s="20"/>
      <c r="H96" s="9"/>
    </row>
    <row r="97" spans="1:7" x14ac:dyDescent="0.25">
      <c r="A97" s="150" t="s">
        <v>28</v>
      </c>
      <c r="B97" s="150"/>
      <c r="C97" s="150"/>
      <c r="D97" s="150"/>
      <c r="E97" s="168">
        <f>E95*1000</f>
        <v>603314487.68999994</v>
      </c>
      <c r="F97" s="168"/>
      <c r="G97" s="8"/>
    </row>
    <row r="98" spans="1:7" ht="15" customHeight="1" x14ac:dyDescent="0.25">
      <c r="A98" s="148" t="s">
        <v>29</v>
      </c>
      <c r="B98" s="148"/>
      <c r="C98" s="148"/>
      <c r="D98" s="148"/>
      <c r="E98" s="169">
        <f>E97-E97/1.18</f>
        <v>92031023.545932174</v>
      </c>
      <c r="F98" s="169"/>
    </row>
    <row r="99" spans="1:7" ht="8.25" customHeight="1" x14ac:dyDescent="0.25"/>
    <row r="100" spans="1:7" hidden="1" x14ac:dyDescent="0.25"/>
    <row r="101" spans="1:7" ht="30" customHeight="1" x14ac:dyDescent="0.25">
      <c r="A101" s="141" t="s">
        <v>31</v>
      </c>
      <c r="B101" s="141"/>
      <c r="C101" s="141"/>
      <c r="D101" s="141"/>
      <c r="E101" s="141"/>
      <c r="F101" s="141"/>
    </row>
    <row r="102" spans="1:7" ht="8.25" customHeight="1" x14ac:dyDescent="0.25"/>
    <row r="103" spans="1:7" x14ac:dyDescent="0.25">
      <c r="B103" s="44" t="s">
        <v>32</v>
      </c>
      <c r="C103" s="137" t="s">
        <v>33</v>
      </c>
      <c r="D103" s="137"/>
    </row>
    <row r="104" spans="1:7" ht="10.5" customHeight="1" x14ac:dyDescent="0.25">
      <c r="B104" s="165">
        <v>2013</v>
      </c>
      <c r="C104" s="166"/>
      <c r="D104" s="167"/>
    </row>
    <row r="105" spans="1:7" ht="11.25" customHeight="1" x14ac:dyDescent="0.25">
      <c r="B105" s="44" t="s">
        <v>34</v>
      </c>
      <c r="C105" s="161">
        <v>5.63</v>
      </c>
      <c r="D105" s="161"/>
    </row>
    <row r="106" spans="1:7" x14ac:dyDescent="0.25">
      <c r="B106" s="44" t="s">
        <v>35</v>
      </c>
      <c r="C106" s="161">
        <v>4.09</v>
      </c>
      <c r="D106" s="161"/>
    </row>
    <row r="107" spans="1:7" x14ac:dyDescent="0.25">
      <c r="B107" s="44" t="s">
        <v>36</v>
      </c>
      <c r="C107" s="161">
        <v>6.02</v>
      </c>
      <c r="D107" s="161"/>
    </row>
    <row r="108" spans="1:7" ht="12.75" customHeight="1" x14ac:dyDescent="0.25">
      <c r="B108" s="165">
        <v>2014</v>
      </c>
      <c r="C108" s="166"/>
      <c r="D108" s="167"/>
    </row>
    <row r="109" spans="1:7" x14ac:dyDescent="0.25">
      <c r="B109" s="44" t="s">
        <v>34</v>
      </c>
      <c r="C109" s="161">
        <v>6.03</v>
      </c>
      <c r="D109" s="161"/>
    </row>
    <row r="110" spans="1:7" x14ac:dyDescent="0.25">
      <c r="B110" s="44" t="s">
        <v>35</v>
      </c>
      <c r="C110" s="161">
        <v>4.38</v>
      </c>
      <c r="D110" s="161"/>
    </row>
    <row r="111" spans="1:7" x14ac:dyDescent="0.25">
      <c r="B111" s="44" t="s">
        <v>36</v>
      </c>
      <c r="C111" s="161">
        <v>6.45</v>
      </c>
      <c r="D111" s="161"/>
    </row>
    <row r="112" spans="1:7" ht="11.25" customHeight="1" x14ac:dyDescent="0.25"/>
    <row r="113" spans="1:6" ht="11.25" customHeight="1" x14ac:dyDescent="0.25"/>
    <row r="114" spans="1:6" ht="18" customHeight="1" x14ac:dyDescent="0.25">
      <c r="A114" s="162" t="s">
        <v>37</v>
      </c>
      <c r="B114" s="162"/>
      <c r="C114" s="162"/>
      <c r="D114" s="162"/>
      <c r="E114" s="162"/>
      <c r="F114" s="162"/>
    </row>
    <row r="115" spans="1:6" x14ac:dyDescent="0.25">
      <c r="A115" s="16"/>
      <c r="B115" s="16" t="s">
        <v>38</v>
      </c>
      <c r="C115" s="16"/>
      <c r="D115" s="163" t="s">
        <v>188</v>
      </c>
      <c r="E115" s="163"/>
      <c r="F115" s="16"/>
    </row>
    <row r="116" spans="1:6" x14ac:dyDescent="0.25">
      <c r="B116" s="21" t="s">
        <v>190</v>
      </c>
      <c r="D116" s="45" t="s">
        <v>194</v>
      </c>
    </row>
    <row r="117" spans="1:6" x14ac:dyDescent="0.25">
      <c r="B117" s="21" t="s">
        <v>40</v>
      </c>
      <c r="D117" s="164" t="s">
        <v>189</v>
      </c>
      <c r="E117" s="164"/>
      <c r="F117" s="164"/>
    </row>
    <row r="118" spans="1:6" x14ac:dyDescent="0.25">
      <c r="B118" s="21" t="s">
        <v>191</v>
      </c>
    </row>
    <row r="119" spans="1:6" x14ac:dyDescent="0.25">
      <c r="B119" s="21" t="s">
        <v>211</v>
      </c>
    </row>
    <row r="120" spans="1:6" ht="15" customHeight="1" x14ac:dyDescent="0.25">
      <c r="B120" s="21" t="s">
        <v>192</v>
      </c>
      <c r="D120" s="47"/>
      <c r="E120" s="139"/>
      <c r="F120" s="139"/>
    </row>
    <row r="121" spans="1:6" ht="24.75" customHeight="1" x14ac:dyDescent="0.25">
      <c r="A121" s="16"/>
      <c r="B121" s="29"/>
      <c r="C121" s="22" t="s">
        <v>207</v>
      </c>
      <c r="D121" s="18"/>
      <c r="E121" s="139" t="s">
        <v>195</v>
      </c>
      <c r="F121" s="139"/>
    </row>
    <row r="124" spans="1:6" x14ac:dyDescent="0.25">
      <c r="D124" s="47"/>
      <c r="E124" s="141"/>
      <c r="F124" s="141"/>
    </row>
  </sheetData>
  <mergeCells count="191">
    <mergeCell ref="A9:F9"/>
    <mergeCell ref="A10:F10"/>
    <mergeCell ref="B12:D12"/>
    <mergeCell ref="E12:F12"/>
    <mergeCell ref="B13:D13"/>
    <mergeCell ref="E13:F13"/>
    <mergeCell ref="D1:F1"/>
    <mergeCell ref="D2:F2"/>
    <mergeCell ref="D3:F3"/>
    <mergeCell ref="C4:F4"/>
    <mergeCell ref="A7:F7"/>
    <mergeCell ref="A8:F8"/>
    <mergeCell ref="B18:D18"/>
    <mergeCell ref="E18:F18"/>
    <mergeCell ref="A19:D19"/>
    <mergeCell ref="E19:F19"/>
    <mergeCell ref="A20:F20"/>
    <mergeCell ref="A21:F21"/>
    <mergeCell ref="A14:F14"/>
    <mergeCell ref="B15:D15"/>
    <mergeCell ref="E15:F15"/>
    <mergeCell ref="A16:D16"/>
    <mergeCell ref="E16:F16"/>
    <mergeCell ref="A17:F17"/>
    <mergeCell ref="B25:D25"/>
    <mergeCell ref="E25:F25"/>
    <mergeCell ref="B26:D26"/>
    <mergeCell ref="E26:F26"/>
    <mergeCell ref="B27:D27"/>
    <mergeCell ref="E27:F27"/>
    <mergeCell ref="B22:D22"/>
    <mergeCell ref="E22:F22"/>
    <mergeCell ref="B23:D23"/>
    <mergeCell ref="E23:F23"/>
    <mergeCell ref="B24:D24"/>
    <mergeCell ref="E24:F24"/>
    <mergeCell ref="B31:D31"/>
    <mergeCell ref="E31:F31"/>
    <mergeCell ref="B32:D32"/>
    <mergeCell ref="E32:F32"/>
    <mergeCell ref="B33:D33"/>
    <mergeCell ref="E33:F33"/>
    <mergeCell ref="B28:D28"/>
    <mergeCell ref="E28:F28"/>
    <mergeCell ref="B29:D29"/>
    <mergeCell ref="E29:F29"/>
    <mergeCell ref="B30:D30"/>
    <mergeCell ref="E30:F30"/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49:D49"/>
    <mergeCell ref="E49:F49"/>
    <mergeCell ref="A50:D50"/>
    <mergeCell ref="E50:F50"/>
    <mergeCell ref="B51:D51"/>
    <mergeCell ref="E51:F51"/>
    <mergeCell ref="B46:D46"/>
    <mergeCell ref="E46:F46"/>
    <mergeCell ref="B47:D47"/>
    <mergeCell ref="E47:F47"/>
    <mergeCell ref="A48:D48"/>
    <mergeCell ref="E48:F48"/>
    <mergeCell ref="B55:D55"/>
    <mergeCell ref="E55:F55"/>
    <mergeCell ref="B56:D56"/>
    <mergeCell ref="E56:F56"/>
    <mergeCell ref="A57:D57"/>
    <mergeCell ref="E57:F57"/>
    <mergeCell ref="A52:D52"/>
    <mergeCell ref="E52:F52"/>
    <mergeCell ref="B53:D53"/>
    <mergeCell ref="E53:F53"/>
    <mergeCell ref="A54:D54"/>
    <mergeCell ref="E54:F54"/>
    <mergeCell ref="A61:F61"/>
    <mergeCell ref="B62:D62"/>
    <mergeCell ref="E62:F62"/>
    <mergeCell ref="B63:D63"/>
    <mergeCell ref="E63:F63"/>
    <mergeCell ref="B64:D64"/>
    <mergeCell ref="E64:F64"/>
    <mergeCell ref="B58:D58"/>
    <mergeCell ref="E58:F58"/>
    <mergeCell ref="B59:D59"/>
    <mergeCell ref="E59:F59"/>
    <mergeCell ref="A60:D60"/>
    <mergeCell ref="E60:F60"/>
    <mergeCell ref="B68:D68"/>
    <mergeCell ref="E68:F68"/>
    <mergeCell ref="B69:D69"/>
    <mergeCell ref="E69:F69"/>
    <mergeCell ref="B70:D70"/>
    <mergeCell ref="E70:F70"/>
    <mergeCell ref="B65:D65"/>
    <mergeCell ref="E65:F65"/>
    <mergeCell ref="B66:D66"/>
    <mergeCell ref="E66:F66"/>
    <mergeCell ref="B67:D67"/>
    <mergeCell ref="E67:F67"/>
    <mergeCell ref="B74:D74"/>
    <mergeCell ref="E74:F74"/>
    <mergeCell ref="B75:D75"/>
    <mergeCell ref="E75:F75"/>
    <mergeCell ref="B76:D76"/>
    <mergeCell ref="E76:F76"/>
    <mergeCell ref="B71:D71"/>
    <mergeCell ref="E71:F71"/>
    <mergeCell ref="B72:D72"/>
    <mergeCell ref="E72:F72"/>
    <mergeCell ref="B73:D73"/>
    <mergeCell ref="E73:F73"/>
    <mergeCell ref="B80:D80"/>
    <mergeCell ref="E80:F80"/>
    <mergeCell ref="B81:D81"/>
    <mergeCell ref="E81:F81"/>
    <mergeCell ref="B82:D82"/>
    <mergeCell ref="E82:F82"/>
    <mergeCell ref="B77:D77"/>
    <mergeCell ref="E77:F77"/>
    <mergeCell ref="B78:D78"/>
    <mergeCell ref="E78:F78"/>
    <mergeCell ref="B79:D79"/>
    <mergeCell ref="E79:F79"/>
    <mergeCell ref="B86:D86"/>
    <mergeCell ref="E86:F86"/>
    <mergeCell ref="B87:D87"/>
    <mergeCell ref="E87:F87"/>
    <mergeCell ref="B88:D88"/>
    <mergeCell ref="E88:F88"/>
    <mergeCell ref="B83:D83"/>
    <mergeCell ref="E83:F83"/>
    <mergeCell ref="B84:D84"/>
    <mergeCell ref="E84:F84"/>
    <mergeCell ref="B85:D85"/>
    <mergeCell ref="E85:F85"/>
    <mergeCell ref="B92:D92"/>
    <mergeCell ref="E92:F92"/>
    <mergeCell ref="A93:D93"/>
    <mergeCell ref="E93:F93"/>
    <mergeCell ref="A94:D94"/>
    <mergeCell ref="E94:F94"/>
    <mergeCell ref="B89:D89"/>
    <mergeCell ref="E89:F89"/>
    <mergeCell ref="B90:D90"/>
    <mergeCell ref="E90:F90"/>
    <mergeCell ref="B91:D91"/>
    <mergeCell ref="E91:F91"/>
    <mergeCell ref="A101:F101"/>
    <mergeCell ref="C103:D103"/>
    <mergeCell ref="B104:D104"/>
    <mergeCell ref="C105:D105"/>
    <mergeCell ref="C106:D106"/>
    <mergeCell ref="C107:D107"/>
    <mergeCell ref="A95:D95"/>
    <mergeCell ref="E95:F95"/>
    <mergeCell ref="A97:D97"/>
    <mergeCell ref="E97:F97"/>
    <mergeCell ref="A98:D98"/>
    <mergeCell ref="E98:F98"/>
    <mergeCell ref="D117:F117"/>
    <mergeCell ref="E120:F120"/>
    <mergeCell ref="E121:F121"/>
    <mergeCell ref="E124:F124"/>
    <mergeCell ref="B108:D108"/>
    <mergeCell ref="C109:D109"/>
    <mergeCell ref="C110:D110"/>
    <mergeCell ref="C111:D111"/>
    <mergeCell ref="A114:F114"/>
    <mergeCell ref="D115:E115"/>
  </mergeCells>
  <pageMargins left="0.9055118110236221" right="0.51181102362204722" top="0.55118110236220474" bottom="0.35433070866141736" header="0" footer="0"/>
  <pageSetup paperSize="9" scale="93" fitToHeight="10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view="pageBreakPreview" topLeftCell="A68" zoomScale="130" zoomScaleNormal="100" zoomScaleSheetLayoutView="130" workbookViewId="0">
      <selection activeCell="B88" sqref="B88:D88"/>
    </sheetView>
  </sheetViews>
  <sheetFormatPr defaultColWidth="9.140625" defaultRowHeight="15" x14ac:dyDescent="0.25"/>
  <cols>
    <col min="1" max="1" width="5.5703125" style="45" customWidth="1"/>
    <col min="2" max="2" width="22" style="45" customWidth="1"/>
    <col min="3" max="3" width="27.7109375" style="45" customWidth="1"/>
    <col min="4" max="4" width="20.42578125" style="45" customWidth="1"/>
    <col min="5" max="5" width="10.42578125" style="45" customWidth="1"/>
    <col min="6" max="6" width="9.28515625" style="45" customWidth="1"/>
    <col min="7" max="7" width="12.85546875" style="45" customWidth="1"/>
    <col min="8" max="8" width="21.28515625" style="45" customWidth="1"/>
    <col min="9" max="9" width="9.140625" style="45"/>
    <col min="10" max="10" width="13.7109375" style="45" customWidth="1"/>
    <col min="11" max="16384" width="9.140625" style="45"/>
  </cols>
  <sheetData>
    <row r="1" spans="1:7" x14ac:dyDescent="0.25">
      <c r="C1" s="17"/>
      <c r="D1" s="229" t="s">
        <v>0</v>
      </c>
      <c r="E1" s="229"/>
      <c r="F1" s="229"/>
      <c r="G1" s="46"/>
    </row>
    <row r="2" spans="1:7" x14ac:dyDescent="0.25">
      <c r="C2" s="17"/>
      <c r="D2" s="229" t="s">
        <v>157</v>
      </c>
      <c r="E2" s="229"/>
      <c r="F2" s="229"/>
    </row>
    <row r="3" spans="1:7" x14ac:dyDescent="0.25">
      <c r="C3" s="17"/>
      <c r="D3" s="229" t="s">
        <v>154</v>
      </c>
      <c r="E3" s="229"/>
      <c r="F3" s="229"/>
      <c r="G3" s="46"/>
    </row>
    <row r="4" spans="1:7" x14ac:dyDescent="0.25">
      <c r="C4" s="229" t="s">
        <v>187</v>
      </c>
      <c r="D4" s="229"/>
      <c r="E4" s="229"/>
      <c r="F4" s="229"/>
    </row>
    <row r="6" spans="1:7" hidden="1" x14ac:dyDescent="0.25"/>
    <row r="7" spans="1:7" x14ac:dyDescent="0.25">
      <c r="A7" s="141" t="s">
        <v>2</v>
      </c>
      <c r="B7" s="141"/>
      <c r="C7" s="141"/>
      <c r="D7" s="141"/>
      <c r="E7" s="141"/>
      <c r="F7" s="141"/>
    </row>
    <row r="8" spans="1:7" x14ac:dyDescent="0.25">
      <c r="A8" s="141" t="s">
        <v>3</v>
      </c>
      <c r="B8" s="141"/>
      <c r="C8" s="141"/>
      <c r="D8" s="141"/>
      <c r="E8" s="141"/>
      <c r="F8" s="141"/>
    </row>
    <row r="9" spans="1:7" x14ac:dyDescent="0.25">
      <c r="A9" s="141" t="s">
        <v>156</v>
      </c>
      <c r="B9" s="141"/>
      <c r="C9" s="141"/>
      <c r="D9" s="141"/>
      <c r="E9" s="141"/>
      <c r="F9" s="141"/>
    </row>
    <row r="10" spans="1:7" ht="16.5" customHeight="1" x14ac:dyDescent="0.25">
      <c r="A10" s="140" t="s">
        <v>155</v>
      </c>
      <c r="B10" s="140"/>
      <c r="C10" s="140"/>
      <c r="D10" s="140"/>
      <c r="E10" s="140"/>
      <c r="F10" s="140"/>
    </row>
    <row r="11" spans="1:7" ht="9" customHeight="1" x14ac:dyDescent="0.25"/>
    <row r="12" spans="1:7" ht="43.5" customHeight="1" x14ac:dyDescent="0.25">
      <c r="A12" s="44" t="s">
        <v>5</v>
      </c>
      <c r="B12" s="225" t="s">
        <v>7</v>
      </c>
      <c r="C12" s="226"/>
      <c r="D12" s="227"/>
      <c r="E12" s="137" t="s">
        <v>8</v>
      </c>
      <c r="F12" s="137"/>
    </row>
    <row r="13" spans="1:7" ht="13.5" customHeight="1" x14ac:dyDescent="0.25">
      <c r="A13" s="48">
        <v>1</v>
      </c>
      <c r="B13" s="228">
        <v>2</v>
      </c>
      <c r="C13" s="131"/>
      <c r="D13" s="132"/>
      <c r="E13" s="228">
        <v>3</v>
      </c>
      <c r="F13" s="132"/>
    </row>
    <row r="14" spans="1:7" ht="13.5" customHeight="1" x14ac:dyDescent="0.25">
      <c r="A14" s="136" t="s">
        <v>16</v>
      </c>
      <c r="B14" s="136"/>
      <c r="C14" s="136"/>
      <c r="D14" s="136"/>
      <c r="E14" s="136"/>
      <c r="F14" s="136"/>
    </row>
    <row r="15" spans="1:7" x14ac:dyDescent="0.25">
      <c r="A15" s="48">
        <v>1</v>
      </c>
      <c r="B15" s="82" t="s">
        <v>12</v>
      </c>
      <c r="C15" s="83"/>
      <c r="D15" s="84"/>
      <c r="E15" s="133">
        <v>131675.818</v>
      </c>
      <c r="F15" s="134"/>
    </row>
    <row r="16" spans="1:7" x14ac:dyDescent="0.25">
      <c r="A16" s="124" t="s">
        <v>18</v>
      </c>
      <c r="B16" s="125"/>
      <c r="C16" s="125"/>
      <c r="D16" s="125"/>
      <c r="E16" s="144">
        <f>SUM(E15:F15)</f>
        <v>131675.818</v>
      </c>
      <c r="F16" s="145"/>
    </row>
    <row r="17" spans="1:8" x14ac:dyDescent="0.25">
      <c r="A17" s="136" t="s">
        <v>19</v>
      </c>
      <c r="B17" s="136"/>
      <c r="C17" s="136"/>
      <c r="D17" s="136"/>
      <c r="E17" s="136"/>
      <c r="F17" s="136"/>
    </row>
    <row r="18" spans="1:8" ht="15" customHeight="1" x14ac:dyDescent="0.25">
      <c r="A18" s="6">
        <v>2</v>
      </c>
      <c r="B18" s="146" t="s">
        <v>12</v>
      </c>
      <c r="C18" s="146"/>
      <c r="D18" s="146"/>
      <c r="E18" s="142">
        <v>94324.182000000001</v>
      </c>
      <c r="F18" s="142"/>
    </row>
    <row r="19" spans="1:8" x14ac:dyDescent="0.25">
      <c r="A19" s="136" t="s">
        <v>13</v>
      </c>
      <c r="B19" s="136"/>
      <c r="C19" s="136"/>
      <c r="D19" s="136"/>
      <c r="E19" s="147">
        <f>SUM(E18:F18)</f>
        <v>94324.182000000001</v>
      </c>
      <c r="F19" s="147"/>
    </row>
    <row r="20" spans="1:8" x14ac:dyDescent="0.25">
      <c r="A20" s="136" t="s">
        <v>193</v>
      </c>
      <c r="B20" s="136"/>
      <c r="C20" s="136"/>
      <c r="D20" s="136"/>
      <c r="E20" s="136"/>
      <c r="F20" s="136"/>
    </row>
    <row r="21" spans="1:8" s="11" customFormat="1" x14ac:dyDescent="0.25">
      <c r="A21" s="224" t="s">
        <v>9</v>
      </c>
      <c r="B21" s="224"/>
      <c r="C21" s="224"/>
      <c r="D21" s="224"/>
      <c r="E21" s="224"/>
      <c r="F21" s="224"/>
      <c r="H21" s="13"/>
    </row>
    <row r="22" spans="1:8" s="11" customFormat="1" hidden="1" x14ac:dyDescent="0.25">
      <c r="A22" s="10">
        <v>5</v>
      </c>
      <c r="B22" s="221" t="s">
        <v>114</v>
      </c>
      <c r="C22" s="222"/>
      <c r="D22" s="223"/>
      <c r="E22" s="183"/>
      <c r="F22" s="184"/>
      <c r="H22" s="13"/>
    </row>
    <row r="23" spans="1:8" s="11" customFormat="1" hidden="1" x14ac:dyDescent="0.25">
      <c r="A23" s="10"/>
      <c r="B23" s="200"/>
      <c r="C23" s="201"/>
      <c r="D23" s="202"/>
      <c r="E23" s="219">
        <v>0</v>
      </c>
      <c r="F23" s="220"/>
      <c r="H23" s="13"/>
    </row>
    <row r="24" spans="1:8" s="11" customFormat="1" hidden="1" x14ac:dyDescent="0.25">
      <c r="A24" s="10"/>
      <c r="B24" s="200"/>
      <c r="C24" s="201"/>
      <c r="D24" s="202"/>
      <c r="E24" s="219">
        <v>0</v>
      </c>
      <c r="F24" s="220"/>
      <c r="H24" s="13"/>
    </row>
    <row r="25" spans="1:8" s="11" customFormat="1" ht="15.75" x14ac:dyDescent="0.25">
      <c r="A25" s="10" t="s">
        <v>158</v>
      </c>
      <c r="B25" s="190" t="s">
        <v>115</v>
      </c>
      <c r="C25" s="191"/>
      <c r="D25" s="192"/>
      <c r="E25" s="219"/>
      <c r="F25" s="220"/>
      <c r="H25" s="13"/>
    </row>
    <row r="26" spans="1:8" s="11" customFormat="1" x14ac:dyDescent="0.25">
      <c r="A26" s="10" t="s">
        <v>159</v>
      </c>
      <c r="B26" s="200" t="s">
        <v>99</v>
      </c>
      <c r="C26" s="201"/>
      <c r="D26" s="202"/>
      <c r="E26" s="212">
        <f>9370-221.78203</f>
        <v>9148.2179699999997</v>
      </c>
      <c r="F26" s="213"/>
      <c r="H26" s="13"/>
    </row>
    <row r="27" spans="1:8" s="11" customFormat="1" x14ac:dyDescent="0.25">
      <c r="A27" s="10" t="s">
        <v>160</v>
      </c>
      <c r="B27" s="200" t="s">
        <v>100</v>
      </c>
      <c r="C27" s="201"/>
      <c r="D27" s="202"/>
      <c r="E27" s="212">
        <f>54420-15866.31308</f>
        <v>38553.68692</v>
      </c>
      <c r="F27" s="213"/>
      <c r="H27" s="13"/>
    </row>
    <row r="28" spans="1:8" s="11" customFormat="1" ht="30" customHeight="1" x14ac:dyDescent="0.25">
      <c r="A28" s="10" t="s">
        <v>161</v>
      </c>
      <c r="B28" s="200" t="s">
        <v>101</v>
      </c>
      <c r="C28" s="201"/>
      <c r="D28" s="202"/>
      <c r="E28" s="212">
        <f>19680-1770.4549</f>
        <v>17909.545099999999</v>
      </c>
      <c r="F28" s="213"/>
      <c r="H28" s="13"/>
    </row>
    <row r="29" spans="1:8" s="11" customFormat="1" x14ac:dyDescent="0.25">
      <c r="A29" s="10" t="s">
        <v>162</v>
      </c>
      <c r="B29" s="200" t="s">
        <v>102</v>
      </c>
      <c r="C29" s="201"/>
      <c r="D29" s="202"/>
      <c r="E29" s="212">
        <f>4848-728.1876</f>
        <v>4119.8123999999998</v>
      </c>
      <c r="F29" s="213"/>
      <c r="H29" s="13"/>
    </row>
    <row r="30" spans="1:8" s="11" customFormat="1" x14ac:dyDescent="0.25">
      <c r="A30" s="10" t="s">
        <v>163</v>
      </c>
      <c r="B30" s="200" t="s">
        <v>103</v>
      </c>
      <c r="C30" s="201"/>
      <c r="D30" s="202"/>
      <c r="E30" s="212">
        <f>32301-1251.79014</f>
        <v>31049.209859999999</v>
      </c>
      <c r="F30" s="213"/>
      <c r="H30" s="13"/>
    </row>
    <row r="31" spans="1:8" s="11" customFormat="1" ht="30" customHeight="1" x14ac:dyDescent="0.25">
      <c r="A31" s="10" t="s">
        <v>164</v>
      </c>
      <c r="B31" s="200" t="s">
        <v>104</v>
      </c>
      <c r="C31" s="201"/>
      <c r="D31" s="202"/>
      <c r="E31" s="212">
        <f>12052-1538.93782</f>
        <v>10513.062180000001</v>
      </c>
      <c r="F31" s="213"/>
      <c r="H31" s="13"/>
    </row>
    <row r="32" spans="1:8" s="11" customFormat="1" ht="30" hidden="1" customHeight="1" x14ac:dyDescent="0.25">
      <c r="A32" s="10" t="s">
        <v>64</v>
      </c>
      <c r="B32" s="200" t="s">
        <v>105</v>
      </c>
      <c r="C32" s="201"/>
      <c r="D32" s="202"/>
      <c r="E32" s="212">
        <v>0</v>
      </c>
      <c r="F32" s="213"/>
      <c r="H32" s="13"/>
    </row>
    <row r="33" spans="1:8" s="11" customFormat="1" x14ac:dyDescent="0.25">
      <c r="A33" s="10" t="s">
        <v>165</v>
      </c>
      <c r="B33" s="200" t="s">
        <v>106</v>
      </c>
      <c r="C33" s="201"/>
      <c r="D33" s="202"/>
      <c r="E33" s="212">
        <f>20000-12449.26592</f>
        <v>7550.7340800000002</v>
      </c>
      <c r="F33" s="213"/>
      <c r="H33" s="13"/>
    </row>
    <row r="34" spans="1:8" s="11" customFormat="1" x14ac:dyDescent="0.25">
      <c r="A34" s="10" t="s">
        <v>166</v>
      </c>
      <c r="B34" s="200" t="s">
        <v>107</v>
      </c>
      <c r="C34" s="201"/>
      <c r="D34" s="202"/>
      <c r="E34" s="212">
        <f>5700-502.73544</f>
        <v>5197.2645599999996</v>
      </c>
      <c r="F34" s="213"/>
      <c r="H34" s="13"/>
    </row>
    <row r="35" spans="1:8" s="11" customFormat="1" x14ac:dyDescent="0.25">
      <c r="A35" s="10" t="s">
        <v>167</v>
      </c>
      <c r="B35" s="200" t="s">
        <v>108</v>
      </c>
      <c r="C35" s="201"/>
      <c r="D35" s="202"/>
      <c r="E35" s="212">
        <f>24130-12961.66188</f>
        <v>11168.33812</v>
      </c>
      <c r="F35" s="213"/>
      <c r="H35" s="13"/>
    </row>
    <row r="36" spans="1:8" s="11" customFormat="1" x14ac:dyDescent="0.25">
      <c r="A36" s="10" t="s">
        <v>168</v>
      </c>
      <c r="B36" s="200" t="s">
        <v>109</v>
      </c>
      <c r="C36" s="201"/>
      <c r="D36" s="202"/>
      <c r="E36" s="212">
        <f>30000-13598.73435</f>
        <v>16401.265650000001</v>
      </c>
      <c r="F36" s="213"/>
      <c r="H36" s="13"/>
    </row>
    <row r="37" spans="1:8" s="11" customFormat="1" ht="45" customHeight="1" x14ac:dyDescent="0.25">
      <c r="A37" s="10" t="s">
        <v>169</v>
      </c>
      <c r="B37" s="200" t="s">
        <v>110</v>
      </c>
      <c r="C37" s="201"/>
      <c r="D37" s="202"/>
      <c r="E37" s="198">
        <f>19980.633-1685.07659</f>
        <v>18295.556410000001</v>
      </c>
      <c r="F37" s="199"/>
      <c r="H37" s="13"/>
    </row>
    <row r="38" spans="1:8" s="11" customFormat="1" ht="30" customHeight="1" x14ac:dyDescent="0.25">
      <c r="A38" s="10" t="s">
        <v>170</v>
      </c>
      <c r="B38" s="200" t="s">
        <v>111</v>
      </c>
      <c r="C38" s="201"/>
      <c r="D38" s="202"/>
      <c r="E38" s="212">
        <f>2700-761.50048</f>
        <v>1938.4995199999998</v>
      </c>
      <c r="F38" s="213"/>
      <c r="H38" s="13"/>
    </row>
    <row r="39" spans="1:8" s="11" customFormat="1" ht="30" customHeight="1" x14ac:dyDescent="0.25">
      <c r="A39" s="10" t="s">
        <v>171</v>
      </c>
      <c r="B39" s="200" t="s">
        <v>112</v>
      </c>
      <c r="C39" s="201"/>
      <c r="D39" s="202"/>
      <c r="E39" s="212">
        <f>4945-276.89784</f>
        <v>4668.1021600000004</v>
      </c>
      <c r="F39" s="213"/>
      <c r="H39" s="13"/>
    </row>
    <row r="40" spans="1:8" s="11" customFormat="1" x14ac:dyDescent="0.25">
      <c r="A40" s="10" t="s">
        <v>172</v>
      </c>
      <c r="B40" s="200" t="s">
        <v>113</v>
      </c>
      <c r="C40" s="201"/>
      <c r="D40" s="202"/>
      <c r="E40" s="212">
        <f>860-30.77978</f>
        <v>829.22022000000004</v>
      </c>
      <c r="F40" s="213"/>
      <c r="H40" s="13"/>
    </row>
    <row r="41" spans="1:8" s="11" customFormat="1" x14ac:dyDescent="0.25">
      <c r="A41" s="10" t="s">
        <v>173</v>
      </c>
      <c r="B41" s="200" t="s">
        <v>50</v>
      </c>
      <c r="C41" s="201"/>
      <c r="D41" s="202"/>
      <c r="E41" s="212">
        <f>13846-92.23624</f>
        <v>13753.76376</v>
      </c>
      <c r="F41" s="213"/>
      <c r="H41" s="13"/>
    </row>
    <row r="42" spans="1:8" s="11" customFormat="1" x14ac:dyDescent="0.25">
      <c r="A42" s="10" t="s">
        <v>174</v>
      </c>
      <c r="B42" s="200" t="s">
        <v>51</v>
      </c>
      <c r="C42" s="201"/>
      <c r="D42" s="202"/>
      <c r="E42" s="212">
        <f>4930-3.07402</f>
        <v>4926.92598</v>
      </c>
      <c r="F42" s="213"/>
      <c r="H42" s="13"/>
    </row>
    <row r="43" spans="1:8" s="11" customFormat="1" x14ac:dyDescent="0.25">
      <c r="A43" s="12">
        <v>4</v>
      </c>
      <c r="B43" s="193" t="s">
        <v>53</v>
      </c>
      <c r="C43" s="194"/>
      <c r="D43" s="195"/>
      <c r="E43" s="212"/>
      <c r="F43" s="213"/>
      <c r="H43" s="13"/>
    </row>
    <row r="44" spans="1:8" s="11" customFormat="1" x14ac:dyDescent="0.25">
      <c r="A44" s="10" t="s">
        <v>175</v>
      </c>
      <c r="B44" s="185" t="s">
        <v>116</v>
      </c>
      <c r="C44" s="186"/>
      <c r="D44" s="187"/>
      <c r="E44" s="212">
        <f>46080-5199.18084</f>
        <v>40880.819159999999</v>
      </c>
      <c r="F44" s="213"/>
      <c r="H44" s="13"/>
    </row>
    <row r="45" spans="1:8" s="11" customFormat="1" hidden="1" x14ac:dyDescent="0.25">
      <c r="A45" s="10" t="s">
        <v>76</v>
      </c>
      <c r="B45" s="185" t="s">
        <v>117</v>
      </c>
      <c r="C45" s="186"/>
      <c r="D45" s="187"/>
      <c r="E45" s="212">
        <v>0</v>
      </c>
      <c r="F45" s="213"/>
      <c r="H45" s="13"/>
    </row>
    <row r="46" spans="1:8" s="11" customFormat="1" hidden="1" x14ac:dyDescent="0.25">
      <c r="A46" s="10" t="s">
        <v>77</v>
      </c>
      <c r="B46" s="185" t="s">
        <v>118</v>
      </c>
      <c r="C46" s="186"/>
      <c r="D46" s="187"/>
      <c r="E46" s="212">
        <v>0</v>
      </c>
      <c r="F46" s="213"/>
      <c r="H46" s="13"/>
    </row>
    <row r="47" spans="1:8" s="11" customFormat="1" x14ac:dyDescent="0.25">
      <c r="A47" s="10"/>
      <c r="B47" s="214" t="s">
        <v>20</v>
      </c>
      <c r="C47" s="215"/>
      <c r="D47" s="216"/>
      <c r="E47" s="217">
        <f>SUM(E22:F46)</f>
        <v>236904.02405000001</v>
      </c>
      <c r="F47" s="218"/>
      <c r="H47" s="13"/>
    </row>
    <row r="48" spans="1:8" s="11" customFormat="1" x14ac:dyDescent="0.25">
      <c r="A48" s="190" t="s">
        <v>54</v>
      </c>
      <c r="B48" s="191"/>
      <c r="C48" s="191"/>
      <c r="D48" s="192"/>
      <c r="E48" s="183"/>
      <c r="F48" s="184"/>
      <c r="H48" s="13"/>
    </row>
    <row r="49" spans="1:8" s="11" customFormat="1" ht="27" customHeight="1" x14ac:dyDescent="0.25">
      <c r="A49" s="12">
        <v>5</v>
      </c>
      <c r="B49" s="174" t="s">
        <v>134</v>
      </c>
      <c r="C49" s="175"/>
      <c r="D49" s="176"/>
      <c r="E49" s="212">
        <f>58020-17778.38448</f>
        <v>40241.615519999999</v>
      </c>
      <c r="F49" s="213"/>
      <c r="H49" s="13">
        <f>E47+E49+E51+E53+E55+E58</f>
        <v>316672.48161000002</v>
      </c>
    </row>
    <row r="50" spans="1:8" s="11" customFormat="1" x14ac:dyDescent="0.25">
      <c r="A50" s="180" t="s">
        <v>55</v>
      </c>
      <c r="B50" s="181"/>
      <c r="C50" s="181"/>
      <c r="D50" s="182"/>
      <c r="E50" s="183"/>
      <c r="F50" s="184"/>
      <c r="H50" s="13"/>
    </row>
    <row r="51" spans="1:8" s="11" customFormat="1" x14ac:dyDescent="0.25">
      <c r="A51" s="12">
        <v>6</v>
      </c>
      <c r="B51" s="185" t="s">
        <v>135</v>
      </c>
      <c r="C51" s="186"/>
      <c r="D51" s="187"/>
      <c r="E51" s="212">
        <v>3016.489</v>
      </c>
      <c r="F51" s="213"/>
      <c r="H51" s="13" t="e">
        <f>#REF!+#REF!</f>
        <v>#REF!</v>
      </c>
    </row>
    <row r="52" spans="1:8" s="11" customFormat="1" ht="15" customHeight="1" x14ac:dyDescent="0.25">
      <c r="A52" s="180" t="s">
        <v>137</v>
      </c>
      <c r="B52" s="181"/>
      <c r="C52" s="181"/>
      <c r="D52" s="182"/>
      <c r="E52" s="212"/>
      <c r="F52" s="213"/>
      <c r="H52" s="13"/>
    </row>
    <row r="53" spans="1:8" s="11" customFormat="1" x14ac:dyDescent="0.25">
      <c r="A53" s="12">
        <v>7</v>
      </c>
      <c r="B53" s="174" t="s">
        <v>56</v>
      </c>
      <c r="C53" s="175"/>
      <c r="D53" s="176"/>
      <c r="E53" s="212">
        <f>22553.339-14.98146</f>
        <v>22538.357540000001</v>
      </c>
      <c r="F53" s="213"/>
      <c r="H53" s="13"/>
    </row>
    <row r="54" spans="1:8" s="11" customFormat="1" x14ac:dyDescent="0.25">
      <c r="A54" s="180" t="s">
        <v>138</v>
      </c>
      <c r="B54" s="181"/>
      <c r="C54" s="181"/>
      <c r="D54" s="182"/>
      <c r="E54" s="183"/>
      <c r="F54" s="184"/>
      <c r="H54" s="13"/>
    </row>
    <row r="55" spans="1:8" s="11" customFormat="1" x14ac:dyDescent="0.25">
      <c r="A55" s="12">
        <v>8</v>
      </c>
      <c r="B55" s="185" t="s">
        <v>139</v>
      </c>
      <c r="C55" s="186"/>
      <c r="D55" s="187"/>
      <c r="E55" s="212">
        <v>6751.9</v>
      </c>
      <c r="F55" s="213"/>
      <c r="H55" s="13"/>
    </row>
    <row r="56" spans="1:8" s="11" customFormat="1" ht="15" hidden="1" customHeight="1" x14ac:dyDescent="0.25">
      <c r="A56" s="12">
        <v>13</v>
      </c>
      <c r="B56" s="174" t="s">
        <v>140</v>
      </c>
      <c r="C56" s="175"/>
      <c r="D56" s="176"/>
      <c r="E56" s="212">
        <v>0</v>
      </c>
      <c r="F56" s="213"/>
      <c r="H56" s="13"/>
    </row>
    <row r="57" spans="1:8" s="11" customFormat="1" x14ac:dyDescent="0.25">
      <c r="A57" s="180" t="s">
        <v>149</v>
      </c>
      <c r="B57" s="181"/>
      <c r="C57" s="181"/>
      <c r="D57" s="182"/>
      <c r="E57" s="212"/>
      <c r="F57" s="213"/>
      <c r="H57" s="13"/>
    </row>
    <row r="58" spans="1:8" s="11" customFormat="1" x14ac:dyDescent="0.25">
      <c r="A58" s="12">
        <v>9</v>
      </c>
      <c r="B58" s="174" t="s">
        <v>141</v>
      </c>
      <c r="C58" s="175"/>
      <c r="D58" s="176"/>
      <c r="E58" s="212">
        <f>7510-289.9045</f>
        <v>7220.0955000000004</v>
      </c>
      <c r="F58" s="213"/>
      <c r="H58" s="13"/>
    </row>
    <row r="59" spans="1:8" s="11" customFormat="1" x14ac:dyDescent="0.25">
      <c r="A59" s="10"/>
      <c r="B59" s="214" t="s">
        <v>20</v>
      </c>
      <c r="C59" s="215"/>
      <c r="D59" s="216"/>
      <c r="E59" s="183">
        <f>SUM(E48:F58)</f>
        <v>79768.457559999995</v>
      </c>
      <c r="F59" s="184"/>
      <c r="H59" s="13">
        <f>E47+E59</f>
        <v>316672.48161000002</v>
      </c>
    </row>
    <row r="60" spans="1:8" x14ac:dyDescent="0.25">
      <c r="A60" s="136" t="s">
        <v>15</v>
      </c>
      <c r="B60" s="136"/>
      <c r="C60" s="136"/>
      <c r="D60" s="136"/>
      <c r="E60" s="143">
        <f>E47+E59</f>
        <v>316672.48161000002</v>
      </c>
      <c r="F60" s="143"/>
    </row>
    <row r="61" spans="1:8" x14ac:dyDescent="0.25">
      <c r="A61" s="124" t="s">
        <v>196</v>
      </c>
      <c r="B61" s="125"/>
      <c r="C61" s="125"/>
      <c r="D61" s="125"/>
      <c r="E61" s="125"/>
      <c r="F61" s="126"/>
    </row>
    <row r="62" spans="1:8" ht="16.5" customHeight="1" x14ac:dyDescent="0.25">
      <c r="A62" s="43" t="s">
        <v>176</v>
      </c>
      <c r="B62" s="103" t="s">
        <v>115</v>
      </c>
      <c r="C62" s="104"/>
      <c r="D62" s="105"/>
      <c r="E62" s="210"/>
      <c r="F62" s="211"/>
    </row>
    <row r="63" spans="1:8" s="11" customFormat="1" x14ac:dyDescent="0.25">
      <c r="A63" s="10" t="s">
        <v>82</v>
      </c>
      <c r="B63" s="200" t="s">
        <v>99</v>
      </c>
      <c r="C63" s="201"/>
      <c r="D63" s="202"/>
      <c r="E63" s="188">
        <f>641.3886</f>
        <v>641.3886</v>
      </c>
      <c r="F63" s="189"/>
      <c r="G63" s="30">
        <v>221.78202999999999</v>
      </c>
      <c r="H63" s="31"/>
    </row>
    <row r="64" spans="1:8" s="11" customFormat="1" ht="15" hidden="1" customHeight="1" x14ac:dyDescent="0.25">
      <c r="A64" s="10"/>
      <c r="B64" s="205" t="s">
        <v>100</v>
      </c>
      <c r="C64" s="206"/>
      <c r="D64" s="207"/>
      <c r="E64" s="208"/>
      <c r="F64" s="209"/>
      <c r="G64" s="32"/>
      <c r="H64" s="33"/>
    </row>
    <row r="65" spans="1:8" s="11" customFormat="1" ht="30" customHeight="1" x14ac:dyDescent="0.25">
      <c r="A65" s="10" t="s">
        <v>177</v>
      </c>
      <c r="B65" s="200" t="s">
        <v>101</v>
      </c>
      <c r="C65" s="201"/>
      <c r="D65" s="202"/>
      <c r="E65" s="188">
        <f>971.00312+632.59082</f>
        <v>1603.59394</v>
      </c>
      <c r="F65" s="189"/>
      <c r="G65" s="30">
        <v>1770.4549</v>
      </c>
      <c r="H65" s="31"/>
    </row>
    <row r="66" spans="1:8" s="11" customFormat="1" x14ac:dyDescent="0.25">
      <c r="A66" s="10" t="s">
        <v>198</v>
      </c>
      <c r="B66" s="200" t="s">
        <v>102</v>
      </c>
      <c r="C66" s="201"/>
      <c r="D66" s="202"/>
      <c r="E66" s="188">
        <f>2715.3216</f>
        <v>2715.3216000000002</v>
      </c>
      <c r="F66" s="189"/>
      <c r="G66" s="30">
        <v>728.18759999999997</v>
      </c>
      <c r="H66" s="31"/>
    </row>
    <row r="67" spans="1:8" s="11" customFormat="1" hidden="1" x14ac:dyDescent="0.25">
      <c r="A67" s="10"/>
      <c r="B67" s="200" t="s">
        <v>103</v>
      </c>
      <c r="C67" s="201"/>
      <c r="D67" s="202"/>
      <c r="E67" s="188"/>
      <c r="F67" s="189"/>
      <c r="G67" s="30">
        <v>1251.7901400000001</v>
      </c>
      <c r="H67" s="31"/>
    </row>
    <row r="68" spans="1:8" s="11" customFormat="1" ht="30" customHeight="1" x14ac:dyDescent="0.25">
      <c r="A68" s="10" t="s">
        <v>199</v>
      </c>
      <c r="B68" s="200" t="s">
        <v>104</v>
      </c>
      <c r="C68" s="201"/>
      <c r="D68" s="202"/>
      <c r="E68" s="188">
        <f>11779.40664</f>
        <v>11779.406639999999</v>
      </c>
      <c r="F68" s="189"/>
      <c r="G68" s="30">
        <v>1538.9378200000001</v>
      </c>
      <c r="H68" s="31"/>
    </row>
    <row r="69" spans="1:8" s="11" customFormat="1" ht="30" hidden="1" customHeight="1" x14ac:dyDescent="0.25">
      <c r="A69" s="10"/>
      <c r="B69" s="205" t="s">
        <v>105</v>
      </c>
      <c r="C69" s="206"/>
      <c r="D69" s="207"/>
      <c r="E69" s="208"/>
      <c r="F69" s="209"/>
      <c r="G69" s="32"/>
      <c r="H69" s="33"/>
    </row>
    <row r="70" spans="1:8" s="11" customFormat="1" ht="15" hidden="1" customHeight="1" x14ac:dyDescent="0.25">
      <c r="A70" s="10"/>
      <c r="B70" s="205" t="s">
        <v>106</v>
      </c>
      <c r="C70" s="206"/>
      <c r="D70" s="207"/>
      <c r="E70" s="208"/>
      <c r="F70" s="209"/>
      <c r="G70" s="32"/>
      <c r="H70" s="33"/>
    </row>
    <row r="71" spans="1:8" s="11" customFormat="1" hidden="1" x14ac:dyDescent="0.25">
      <c r="A71" s="10"/>
      <c r="B71" s="200" t="s">
        <v>107</v>
      </c>
      <c r="C71" s="201"/>
      <c r="D71" s="202"/>
      <c r="E71" s="188"/>
      <c r="F71" s="189"/>
      <c r="G71" s="30">
        <v>502.73543999999998</v>
      </c>
      <c r="H71" s="31"/>
    </row>
    <row r="72" spans="1:8" s="11" customFormat="1" hidden="1" x14ac:dyDescent="0.25">
      <c r="A72" s="10"/>
      <c r="B72" s="200" t="s">
        <v>108</v>
      </c>
      <c r="C72" s="201"/>
      <c r="D72" s="202"/>
      <c r="E72" s="188"/>
      <c r="F72" s="189"/>
      <c r="G72" s="30">
        <v>12961.66188</v>
      </c>
      <c r="H72" s="31"/>
    </row>
    <row r="73" spans="1:8" s="11" customFormat="1" x14ac:dyDescent="0.25">
      <c r="A73" s="10" t="s">
        <v>200</v>
      </c>
      <c r="B73" s="200" t="s">
        <v>109</v>
      </c>
      <c r="C73" s="201"/>
      <c r="D73" s="202"/>
      <c r="E73" s="188">
        <f>43.0405+502.63752+187.58815+1449.66775</f>
        <v>2182.9339199999999</v>
      </c>
      <c r="F73" s="189"/>
      <c r="G73" s="30">
        <v>13598.734350000001</v>
      </c>
      <c r="H73" s="31"/>
    </row>
    <row r="74" spans="1:8" s="11" customFormat="1" ht="45" customHeight="1" x14ac:dyDescent="0.25">
      <c r="A74" s="10"/>
      <c r="B74" s="200" t="s">
        <v>110</v>
      </c>
      <c r="C74" s="201"/>
      <c r="D74" s="202"/>
      <c r="E74" s="230">
        <f>2200.707-596.41</f>
        <v>1604.297</v>
      </c>
      <c r="F74" s="231"/>
      <c r="G74" s="34">
        <v>1685.0765899999999</v>
      </c>
      <c r="H74" s="35"/>
    </row>
    <row r="75" spans="1:8" s="11" customFormat="1" ht="30" customHeight="1" x14ac:dyDescent="0.25">
      <c r="A75" s="10" t="s">
        <v>201</v>
      </c>
      <c r="B75" s="200" t="s">
        <v>111</v>
      </c>
      <c r="C75" s="201"/>
      <c r="D75" s="202"/>
      <c r="E75" s="188">
        <f>7789.27794+170.59024+4111.00082</f>
        <v>12070.868999999999</v>
      </c>
      <c r="F75" s="189"/>
      <c r="G75" s="30">
        <v>761.50048000000004</v>
      </c>
      <c r="H75" s="31"/>
    </row>
    <row r="76" spans="1:8" s="11" customFormat="1" ht="28.5" hidden="1" customHeight="1" x14ac:dyDescent="0.25">
      <c r="A76" s="10"/>
      <c r="B76" s="200" t="s">
        <v>112</v>
      </c>
      <c r="C76" s="201"/>
      <c r="D76" s="202"/>
      <c r="E76" s="188"/>
      <c r="F76" s="189"/>
      <c r="G76" s="30">
        <v>276.89783999999997</v>
      </c>
      <c r="H76" s="31"/>
    </row>
    <row r="77" spans="1:8" s="11" customFormat="1" x14ac:dyDescent="0.25">
      <c r="A77" s="10" t="s">
        <v>203</v>
      </c>
      <c r="B77" s="200" t="s">
        <v>205</v>
      </c>
      <c r="C77" s="201"/>
      <c r="D77" s="202"/>
      <c r="E77" s="188">
        <f>538.7762+252.58372</f>
        <v>791.35991999999999</v>
      </c>
      <c r="F77" s="189"/>
      <c r="G77" s="30">
        <v>30.779779999999999</v>
      </c>
      <c r="H77" s="31"/>
    </row>
    <row r="78" spans="1:8" s="11" customFormat="1" hidden="1" x14ac:dyDescent="0.25">
      <c r="A78" s="10"/>
      <c r="B78" s="200" t="s">
        <v>50</v>
      </c>
      <c r="C78" s="201"/>
      <c r="D78" s="202"/>
      <c r="E78" s="188"/>
      <c r="F78" s="189"/>
      <c r="G78" s="30">
        <v>92.236239999999995</v>
      </c>
      <c r="H78" s="31"/>
    </row>
    <row r="79" spans="1:8" s="11" customFormat="1" x14ac:dyDescent="0.25">
      <c r="A79" s="10" t="s">
        <v>204</v>
      </c>
      <c r="B79" s="200" t="s">
        <v>51</v>
      </c>
      <c r="C79" s="201"/>
      <c r="D79" s="202"/>
      <c r="E79" s="188">
        <v>3830.96558</v>
      </c>
      <c r="F79" s="189"/>
      <c r="G79" s="30">
        <v>3.07402</v>
      </c>
      <c r="H79" s="31"/>
    </row>
    <row r="80" spans="1:8" s="11" customFormat="1" x14ac:dyDescent="0.25">
      <c r="A80" s="12">
        <v>11</v>
      </c>
      <c r="B80" s="193" t="s">
        <v>53</v>
      </c>
      <c r="C80" s="194"/>
      <c r="D80" s="195"/>
      <c r="E80" s="196"/>
      <c r="F80" s="197"/>
      <c r="G80" s="30"/>
      <c r="H80" s="31"/>
    </row>
    <row r="81" spans="1:8" s="11" customFormat="1" x14ac:dyDescent="0.25">
      <c r="A81" s="10" t="s">
        <v>178</v>
      </c>
      <c r="B81" s="185" t="s">
        <v>116</v>
      </c>
      <c r="C81" s="186"/>
      <c r="D81" s="187"/>
      <c r="E81" s="188">
        <f>4646.48482+550.59626+1369.96348</f>
        <v>6567.0445600000003</v>
      </c>
      <c r="F81" s="189"/>
      <c r="G81" s="30">
        <v>5199.18084</v>
      </c>
      <c r="H81" s="31"/>
    </row>
    <row r="82" spans="1:8" s="11" customFormat="1" hidden="1" x14ac:dyDescent="0.25">
      <c r="A82" s="10" t="s">
        <v>179</v>
      </c>
      <c r="B82" s="185" t="s">
        <v>117</v>
      </c>
      <c r="C82" s="186"/>
      <c r="D82" s="187"/>
      <c r="E82" s="188"/>
      <c r="F82" s="189"/>
      <c r="G82" s="30">
        <v>2300</v>
      </c>
      <c r="H82" s="31"/>
    </row>
    <row r="83" spans="1:8" s="11" customFormat="1" hidden="1" x14ac:dyDescent="0.25">
      <c r="A83" s="10" t="s">
        <v>180</v>
      </c>
      <c r="B83" s="185" t="s">
        <v>118</v>
      </c>
      <c r="C83" s="186"/>
      <c r="D83" s="187"/>
      <c r="E83" s="188"/>
      <c r="F83" s="189"/>
      <c r="G83" s="30">
        <v>320</v>
      </c>
      <c r="H83" s="31"/>
    </row>
    <row r="84" spans="1:8" s="11" customFormat="1" ht="15" customHeight="1" x14ac:dyDescent="0.25">
      <c r="A84" s="14" t="s">
        <v>206</v>
      </c>
      <c r="B84" s="190" t="s">
        <v>210</v>
      </c>
      <c r="C84" s="191"/>
      <c r="D84" s="192"/>
      <c r="E84" s="183"/>
      <c r="F84" s="184"/>
      <c r="G84" s="36"/>
      <c r="H84" s="37"/>
    </row>
    <row r="85" spans="1:8" s="11" customFormat="1" x14ac:dyDescent="0.25">
      <c r="A85" s="10" t="s">
        <v>181</v>
      </c>
      <c r="B85" s="174" t="s">
        <v>208</v>
      </c>
      <c r="C85" s="175"/>
      <c r="D85" s="176"/>
      <c r="E85" s="198">
        <v>1137.1258800000001</v>
      </c>
      <c r="F85" s="199"/>
      <c r="G85" s="36"/>
      <c r="H85" s="37"/>
    </row>
    <row r="86" spans="1:8" s="11" customFormat="1" ht="28.5" customHeight="1" x14ac:dyDescent="0.25">
      <c r="A86" s="10" t="s">
        <v>182</v>
      </c>
      <c r="B86" s="174" t="s">
        <v>209</v>
      </c>
      <c r="C86" s="175"/>
      <c r="D86" s="176"/>
      <c r="E86" s="177">
        <f>3428.7614+9698.7386</f>
        <v>13127.5</v>
      </c>
      <c r="F86" s="178"/>
      <c r="G86" s="38">
        <v>17778.384480000001</v>
      </c>
      <c r="H86" s="39"/>
    </row>
    <row r="87" spans="1:8" s="11" customFormat="1" ht="15" customHeight="1" x14ac:dyDescent="0.25">
      <c r="A87" s="15" t="s">
        <v>183</v>
      </c>
      <c r="B87" s="179" t="s">
        <v>151</v>
      </c>
      <c r="C87" s="179"/>
      <c r="D87" s="179"/>
      <c r="E87" s="177"/>
      <c r="F87" s="178"/>
      <c r="G87" s="38"/>
      <c r="H87" s="39"/>
    </row>
    <row r="88" spans="1:8" s="11" customFormat="1" x14ac:dyDescent="0.25">
      <c r="A88" s="10" t="s">
        <v>184</v>
      </c>
      <c r="B88" s="174" t="s">
        <v>56</v>
      </c>
      <c r="C88" s="175"/>
      <c r="D88" s="176"/>
      <c r="E88" s="177">
        <f>142.18292+595.68052</f>
        <v>737.86343999999997</v>
      </c>
      <c r="F88" s="178"/>
      <c r="G88" s="38">
        <v>14.98146</v>
      </c>
      <c r="H88" s="39"/>
    </row>
    <row r="89" spans="1:8" s="11" customFormat="1" ht="15" hidden="1" customHeight="1" x14ac:dyDescent="0.25">
      <c r="A89" s="42"/>
      <c r="B89" s="180" t="s">
        <v>152</v>
      </c>
      <c r="C89" s="181"/>
      <c r="D89" s="182"/>
      <c r="E89" s="183"/>
      <c r="F89" s="184"/>
      <c r="G89" s="36"/>
      <c r="H89" s="37"/>
    </row>
    <row r="90" spans="1:8" s="11" customFormat="1" ht="15" hidden="1" customHeight="1" x14ac:dyDescent="0.25">
      <c r="A90" s="42"/>
      <c r="B90" s="174" t="s">
        <v>140</v>
      </c>
      <c r="C90" s="175"/>
      <c r="D90" s="176"/>
      <c r="E90" s="177"/>
      <c r="F90" s="178"/>
      <c r="G90" s="38">
        <v>920</v>
      </c>
      <c r="H90" s="39"/>
    </row>
    <row r="91" spans="1:8" s="11" customFormat="1" x14ac:dyDescent="0.25">
      <c r="A91" s="15" t="s">
        <v>185</v>
      </c>
      <c r="B91" s="179" t="s">
        <v>153</v>
      </c>
      <c r="C91" s="179"/>
      <c r="D91" s="179"/>
      <c r="E91" s="177"/>
      <c r="F91" s="178"/>
      <c r="G91" s="38"/>
      <c r="H91" s="39"/>
    </row>
    <row r="92" spans="1:8" s="11" customFormat="1" x14ac:dyDescent="0.25">
      <c r="A92" s="10" t="s">
        <v>186</v>
      </c>
      <c r="B92" s="174" t="s">
        <v>141</v>
      </c>
      <c r="C92" s="175"/>
      <c r="D92" s="176"/>
      <c r="E92" s="177">
        <f>766.16456+2690.46844</f>
        <v>3456.6330000000003</v>
      </c>
      <c r="F92" s="178"/>
      <c r="G92" s="38">
        <v>289.90449999999998</v>
      </c>
      <c r="H92" s="39"/>
    </row>
    <row r="93" spans="1:8" ht="15" customHeight="1" x14ac:dyDescent="0.25">
      <c r="A93" s="136" t="s">
        <v>202</v>
      </c>
      <c r="B93" s="136"/>
      <c r="C93" s="136"/>
      <c r="D93" s="136"/>
      <c r="E93" s="170">
        <f>SUM(E62:F92)</f>
        <v>62246.303079999998</v>
      </c>
      <c r="F93" s="171"/>
      <c r="G93" s="40">
        <f>SUM(G62:H92)</f>
        <v>62246.300389999997</v>
      </c>
      <c r="H93" s="41"/>
    </row>
    <row r="94" spans="1:8" x14ac:dyDescent="0.25">
      <c r="A94" s="124"/>
      <c r="B94" s="125"/>
      <c r="C94" s="125"/>
      <c r="D94" s="126"/>
      <c r="E94" s="172"/>
      <c r="F94" s="173"/>
      <c r="G94" s="7"/>
      <c r="H94" s="9"/>
    </row>
    <row r="95" spans="1:8" x14ac:dyDescent="0.25">
      <c r="A95" s="124" t="s">
        <v>197</v>
      </c>
      <c r="B95" s="125"/>
      <c r="C95" s="125"/>
      <c r="D95" s="126"/>
      <c r="E95" s="172">
        <f>E16+E19+E60+E93</f>
        <v>604918.78469</v>
      </c>
      <c r="F95" s="173"/>
      <c r="H95" s="9"/>
    </row>
    <row r="96" spans="1:8" ht="9" customHeight="1" x14ac:dyDescent="0.25">
      <c r="A96" s="19"/>
      <c r="B96" s="19"/>
      <c r="C96" s="19"/>
      <c r="D96" s="19"/>
      <c r="E96" s="20"/>
      <c r="F96" s="20"/>
      <c r="H96" s="9"/>
    </row>
    <row r="97" spans="1:7" x14ac:dyDescent="0.25">
      <c r="A97" s="150" t="s">
        <v>28</v>
      </c>
      <c r="B97" s="150"/>
      <c r="C97" s="150"/>
      <c r="D97" s="150"/>
      <c r="E97" s="168">
        <f>E95*1000</f>
        <v>604918784.69000006</v>
      </c>
      <c r="F97" s="168"/>
      <c r="G97" s="8"/>
    </row>
    <row r="98" spans="1:7" ht="15" customHeight="1" x14ac:dyDescent="0.25">
      <c r="A98" s="148" t="s">
        <v>29</v>
      </c>
      <c r="B98" s="148"/>
      <c r="C98" s="148"/>
      <c r="D98" s="148"/>
      <c r="E98" s="169">
        <f>E97-E97/1.18</f>
        <v>92275746.817118645</v>
      </c>
      <c r="F98" s="169"/>
    </row>
    <row r="99" spans="1:7" ht="8.25" customHeight="1" x14ac:dyDescent="0.25"/>
    <row r="100" spans="1:7" hidden="1" x14ac:dyDescent="0.25"/>
    <row r="101" spans="1:7" ht="30" customHeight="1" x14ac:dyDescent="0.25">
      <c r="A101" s="141" t="s">
        <v>31</v>
      </c>
      <c r="B101" s="141"/>
      <c r="C101" s="141"/>
      <c r="D101" s="141"/>
      <c r="E101" s="141"/>
      <c r="F101" s="141"/>
    </row>
    <row r="102" spans="1:7" ht="8.25" customHeight="1" x14ac:dyDescent="0.25"/>
    <row r="103" spans="1:7" x14ac:dyDescent="0.25">
      <c r="B103" s="44" t="s">
        <v>32</v>
      </c>
      <c r="C103" s="137" t="s">
        <v>33</v>
      </c>
      <c r="D103" s="137"/>
    </row>
    <row r="104" spans="1:7" ht="10.5" customHeight="1" x14ac:dyDescent="0.25">
      <c r="B104" s="165">
        <v>2013</v>
      </c>
      <c r="C104" s="166"/>
      <c r="D104" s="167"/>
    </row>
    <row r="105" spans="1:7" ht="11.25" customHeight="1" x14ac:dyDescent="0.25">
      <c r="B105" s="44" t="s">
        <v>34</v>
      </c>
      <c r="C105" s="161">
        <v>5.63</v>
      </c>
      <c r="D105" s="161"/>
    </row>
    <row r="106" spans="1:7" x14ac:dyDescent="0.25">
      <c r="B106" s="44" t="s">
        <v>35</v>
      </c>
      <c r="C106" s="161">
        <v>4.09</v>
      </c>
      <c r="D106" s="161"/>
    </row>
    <row r="107" spans="1:7" x14ac:dyDescent="0.25">
      <c r="B107" s="44" t="s">
        <v>36</v>
      </c>
      <c r="C107" s="161">
        <v>6.02</v>
      </c>
      <c r="D107" s="161"/>
    </row>
    <row r="108" spans="1:7" ht="12.75" customHeight="1" x14ac:dyDescent="0.25">
      <c r="B108" s="165">
        <v>2014</v>
      </c>
      <c r="C108" s="166"/>
      <c r="D108" s="167"/>
    </row>
    <row r="109" spans="1:7" x14ac:dyDescent="0.25">
      <c r="B109" s="44" t="s">
        <v>34</v>
      </c>
      <c r="C109" s="161">
        <v>6.03</v>
      </c>
      <c r="D109" s="161"/>
    </row>
    <row r="110" spans="1:7" x14ac:dyDescent="0.25">
      <c r="B110" s="44" t="s">
        <v>35</v>
      </c>
      <c r="C110" s="161">
        <v>4.38</v>
      </c>
      <c r="D110" s="161"/>
    </row>
    <row r="111" spans="1:7" x14ac:dyDescent="0.25">
      <c r="B111" s="44" t="s">
        <v>36</v>
      </c>
      <c r="C111" s="161">
        <v>6.45</v>
      </c>
      <c r="D111" s="161"/>
    </row>
    <row r="112" spans="1:7" ht="11.25" customHeight="1" x14ac:dyDescent="0.25"/>
    <row r="113" spans="1:6" ht="11.25" customHeight="1" x14ac:dyDescent="0.25"/>
    <row r="114" spans="1:6" ht="18" customHeight="1" x14ac:dyDescent="0.25">
      <c r="A114" s="162" t="s">
        <v>37</v>
      </c>
      <c r="B114" s="162"/>
      <c r="C114" s="162"/>
      <c r="D114" s="162"/>
      <c r="E114" s="162"/>
      <c r="F114" s="162"/>
    </row>
    <row r="115" spans="1:6" x14ac:dyDescent="0.25">
      <c r="A115" s="16"/>
      <c r="B115" s="16" t="s">
        <v>38</v>
      </c>
      <c r="C115" s="16"/>
      <c r="D115" s="163" t="s">
        <v>188</v>
      </c>
      <c r="E115" s="163"/>
      <c r="F115" s="16"/>
    </row>
    <row r="116" spans="1:6" x14ac:dyDescent="0.25">
      <c r="B116" s="21" t="s">
        <v>190</v>
      </c>
      <c r="D116" s="45" t="s">
        <v>194</v>
      </c>
    </row>
    <row r="117" spans="1:6" x14ac:dyDescent="0.25">
      <c r="B117" s="21" t="s">
        <v>40</v>
      </c>
      <c r="D117" s="164" t="s">
        <v>189</v>
      </c>
      <c r="E117" s="164"/>
      <c r="F117" s="164"/>
    </row>
    <row r="118" spans="1:6" x14ac:dyDescent="0.25">
      <c r="B118" s="21" t="s">
        <v>191</v>
      </c>
    </row>
    <row r="119" spans="1:6" x14ac:dyDescent="0.25">
      <c r="B119" s="21" t="s">
        <v>211</v>
      </c>
    </row>
    <row r="120" spans="1:6" ht="15" customHeight="1" x14ac:dyDescent="0.25">
      <c r="B120" s="21" t="s">
        <v>192</v>
      </c>
      <c r="D120" s="47"/>
      <c r="E120" s="139"/>
      <c r="F120" s="139"/>
    </row>
    <row r="121" spans="1:6" ht="24.75" customHeight="1" x14ac:dyDescent="0.25">
      <c r="A121" s="16"/>
      <c r="B121" s="29"/>
      <c r="C121" s="22" t="s">
        <v>207</v>
      </c>
      <c r="D121" s="18"/>
      <c r="E121" s="139" t="s">
        <v>195</v>
      </c>
      <c r="F121" s="139"/>
    </row>
    <row r="124" spans="1:6" x14ac:dyDescent="0.25">
      <c r="D124" s="47"/>
      <c r="E124" s="141"/>
      <c r="F124" s="141"/>
    </row>
  </sheetData>
  <mergeCells count="191">
    <mergeCell ref="A9:F9"/>
    <mergeCell ref="A10:F10"/>
    <mergeCell ref="B12:D12"/>
    <mergeCell ref="E12:F12"/>
    <mergeCell ref="B13:D13"/>
    <mergeCell ref="E13:F13"/>
    <mergeCell ref="D1:F1"/>
    <mergeCell ref="D2:F2"/>
    <mergeCell ref="D3:F3"/>
    <mergeCell ref="C4:F4"/>
    <mergeCell ref="A7:F7"/>
    <mergeCell ref="A8:F8"/>
    <mergeCell ref="B18:D18"/>
    <mergeCell ref="E18:F18"/>
    <mergeCell ref="A19:D19"/>
    <mergeCell ref="E19:F19"/>
    <mergeCell ref="A20:F20"/>
    <mergeCell ref="A21:F21"/>
    <mergeCell ref="A14:F14"/>
    <mergeCell ref="B15:D15"/>
    <mergeCell ref="E15:F15"/>
    <mergeCell ref="A16:D16"/>
    <mergeCell ref="E16:F16"/>
    <mergeCell ref="A17:F17"/>
    <mergeCell ref="B25:D25"/>
    <mergeCell ref="E25:F25"/>
    <mergeCell ref="B26:D26"/>
    <mergeCell ref="E26:F26"/>
    <mergeCell ref="B27:D27"/>
    <mergeCell ref="E27:F27"/>
    <mergeCell ref="B22:D22"/>
    <mergeCell ref="E22:F22"/>
    <mergeCell ref="B23:D23"/>
    <mergeCell ref="E23:F23"/>
    <mergeCell ref="B24:D24"/>
    <mergeCell ref="E24:F24"/>
    <mergeCell ref="B31:D31"/>
    <mergeCell ref="E31:F31"/>
    <mergeCell ref="B32:D32"/>
    <mergeCell ref="E32:F32"/>
    <mergeCell ref="B33:D33"/>
    <mergeCell ref="E33:F33"/>
    <mergeCell ref="B28:D28"/>
    <mergeCell ref="E28:F28"/>
    <mergeCell ref="B29:D29"/>
    <mergeCell ref="E29:F29"/>
    <mergeCell ref="B30:D30"/>
    <mergeCell ref="E30:F30"/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49:D49"/>
    <mergeCell ref="E49:F49"/>
    <mergeCell ref="A50:D50"/>
    <mergeCell ref="E50:F50"/>
    <mergeCell ref="B51:D51"/>
    <mergeCell ref="E51:F51"/>
    <mergeCell ref="B46:D46"/>
    <mergeCell ref="E46:F46"/>
    <mergeCell ref="B47:D47"/>
    <mergeCell ref="E47:F47"/>
    <mergeCell ref="A48:D48"/>
    <mergeCell ref="E48:F48"/>
    <mergeCell ref="B55:D55"/>
    <mergeCell ref="E55:F55"/>
    <mergeCell ref="B56:D56"/>
    <mergeCell ref="E56:F56"/>
    <mergeCell ref="A57:D57"/>
    <mergeCell ref="E57:F57"/>
    <mergeCell ref="A52:D52"/>
    <mergeCell ref="E52:F52"/>
    <mergeCell ref="B53:D53"/>
    <mergeCell ref="E53:F53"/>
    <mergeCell ref="A54:D54"/>
    <mergeCell ref="E54:F54"/>
    <mergeCell ref="A61:F61"/>
    <mergeCell ref="B62:D62"/>
    <mergeCell ref="E62:F62"/>
    <mergeCell ref="B63:D63"/>
    <mergeCell ref="E63:F63"/>
    <mergeCell ref="B64:D64"/>
    <mergeCell ref="E64:F64"/>
    <mergeCell ref="B58:D58"/>
    <mergeCell ref="E58:F58"/>
    <mergeCell ref="B59:D59"/>
    <mergeCell ref="E59:F59"/>
    <mergeCell ref="A60:D60"/>
    <mergeCell ref="E60:F60"/>
    <mergeCell ref="B68:D68"/>
    <mergeCell ref="E68:F68"/>
    <mergeCell ref="B69:D69"/>
    <mergeCell ref="E69:F69"/>
    <mergeCell ref="B70:D70"/>
    <mergeCell ref="E70:F70"/>
    <mergeCell ref="B65:D65"/>
    <mergeCell ref="E65:F65"/>
    <mergeCell ref="B66:D66"/>
    <mergeCell ref="E66:F66"/>
    <mergeCell ref="B67:D67"/>
    <mergeCell ref="E67:F67"/>
    <mergeCell ref="B74:D74"/>
    <mergeCell ref="E74:F74"/>
    <mergeCell ref="B75:D75"/>
    <mergeCell ref="E75:F75"/>
    <mergeCell ref="B76:D76"/>
    <mergeCell ref="E76:F76"/>
    <mergeCell ref="B71:D71"/>
    <mergeCell ref="E71:F71"/>
    <mergeCell ref="B72:D72"/>
    <mergeCell ref="E72:F72"/>
    <mergeCell ref="B73:D73"/>
    <mergeCell ref="E73:F73"/>
    <mergeCell ref="B80:D80"/>
    <mergeCell ref="E80:F80"/>
    <mergeCell ref="B81:D81"/>
    <mergeCell ref="E81:F81"/>
    <mergeCell ref="B82:D82"/>
    <mergeCell ref="E82:F82"/>
    <mergeCell ref="B77:D77"/>
    <mergeCell ref="E77:F77"/>
    <mergeCell ref="B78:D78"/>
    <mergeCell ref="E78:F78"/>
    <mergeCell ref="B79:D79"/>
    <mergeCell ref="E79:F79"/>
    <mergeCell ref="B86:D86"/>
    <mergeCell ref="E86:F86"/>
    <mergeCell ref="B87:D87"/>
    <mergeCell ref="E87:F87"/>
    <mergeCell ref="B88:D88"/>
    <mergeCell ref="E88:F88"/>
    <mergeCell ref="B83:D83"/>
    <mergeCell ref="E83:F83"/>
    <mergeCell ref="B84:D84"/>
    <mergeCell ref="E84:F84"/>
    <mergeCell ref="B85:D85"/>
    <mergeCell ref="E85:F85"/>
    <mergeCell ref="B92:D92"/>
    <mergeCell ref="E92:F92"/>
    <mergeCell ref="A93:D93"/>
    <mergeCell ref="E93:F93"/>
    <mergeCell ref="A94:D94"/>
    <mergeCell ref="E94:F94"/>
    <mergeCell ref="B89:D89"/>
    <mergeCell ref="E89:F89"/>
    <mergeCell ref="B90:D90"/>
    <mergeCell ref="E90:F90"/>
    <mergeCell ref="B91:D91"/>
    <mergeCell ref="E91:F91"/>
    <mergeCell ref="A101:F101"/>
    <mergeCell ref="C103:D103"/>
    <mergeCell ref="B104:D104"/>
    <mergeCell ref="C105:D105"/>
    <mergeCell ref="C106:D106"/>
    <mergeCell ref="C107:D107"/>
    <mergeCell ref="A95:D95"/>
    <mergeCell ref="E95:F95"/>
    <mergeCell ref="A97:D97"/>
    <mergeCell ref="E97:F97"/>
    <mergeCell ref="A98:D98"/>
    <mergeCell ref="E98:F98"/>
    <mergeCell ref="D117:F117"/>
    <mergeCell ref="E120:F120"/>
    <mergeCell ref="E121:F121"/>
    <mergeCell ref="E124:F124"/>
    <mergeCell ref="B108:D108"/>
    <mergeCell ref="C109:D109"/>
    <mergeCell ref="C110:D110"/>
    <mergeCell ref="C111:D111"/>
    <mergeCell ref="A114:F114"/>
    <mergeCell ref="D115:E115"/>
  </mergeCells>
  <pageMargins left="0.9055118110236221" right="0.51181102362204722" top="0.55118110236220474" bottom="0.35433070866141736" header="0" footer="0"/>
  <pageSetup paperSize="9" scale="93" fitToHeight="10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view="pageBreakPreview" topLeftCell="A50" zoomScale="130" zoomScaleNormal="100" zoomScaleSheetLayoutView="130" workbookViewId="0">
      <selection activeCell="B65" sqref="B65:D65"/>
    </sheetView>
  </sheetViews>
  <sheetFormatPr defaultColWidth="9.140625" defaultRowHeight="15" x14ac:dyDescent="0.25"/>
  <cols>
    <col min="1" max="1" width="7.28515625" style="50" customWidth="1"/>
    <col min="2" max="2" width="22" style="50" customWidth="1"/>
    <col min="3" max="3" width="27.7109375" style="50" customWidth="1"/>
    <col min="4" max="4" width="22.7109375" style="50" customWidth="1"/>
    <col min="5" max="5" width="10.42578125" style="50" customWidth="1"/>
    <col min="6" max="6" width="9.28515625" style="50" customWidth="1"/>
    <col min="7" max="7" width="12.85546875" style="50" customWidth="1"/>
    <col min="8" max="8" width="16.85546875" style="50" customWidth="1"/>
    <col min="9" max="9" width="9.140625" style="50"/>
    <col min="10" max="10" width="13.7109375" style="50" customWidth="1"/>
    <col min="11" max="16384" width="9.140625" style="50"/>
  </cols>
  <sheetData>
    <row r="1" spans="1:7" s="17" customFormat="1" ht="12" x14ac:dyDescent="0.2">
      <c r="D1" s="229" t="s">
        <v>0</v>
      </c>
      <c r="E1" s="229"/>
      <c r="F1" s="229"/>
      <c r="G1" s="64"/>
    </row>
    <row r="2" spans="1:7" s="17" customFormat="1" ht="12" x14ac:dyDescent="0.2">
      <c r="D2" s="229" t="s">
        <v>157</v>
      </c>
      <c r="E2" s="229"/>
      <c r="F2" s="229"/>
    </row>
    <row r="3" spans="1:7" s="17" customFormat="1" ht="12" x14ac:dyDescent="0.2">
      <c r="D3" s="229" t="s">
        <v>154</v>
      </c>
      <c r="E3" s="229"/>
      <c r="F3" s="229"/>
      <c r="G3" s="64"/>
    </row>
    <row r="4" spans="1:7" s="17" customFormat="1" ht="12" x14ac:dyDescent="0.2">
      <c r="C4" s="229" t="s">
        <v>187</v>
      </c>
      <c r="D4" s="229"/>
      <c r="E4" s="229"/>
      <c r="F4" s="229"/>
    </row>
    <row r="5" spans="1:7" s="17" customFormat="1" ht="12" x14ac:dyDescent="0.2"/>
    <row r="6" spans="1:7" hidden="1" x14ac:dyDescent="0.25"/>
    <row r="7" spans="1:7" x14ac:dyDescent="0.25">
      <c r="A7" s="141" t="s">
        <v>2</v>
      </c>
      <c r="B7" s="141"/>
      <c r="C7" s="141"/>
      <c r="D7" s="141"/>
      <c r="E7" s="141"/>
      <c r="F7" s="141"/>
    </row>
    <row r="8" spans="1:7" x14ac:dyDescent="0.25">
      <c r="A8" s="141" t="s">
        <v>3</v>
      </c>
      <c r="B8" s="141"/>
      <c r="C8" s="141"/>
      <c r="D8" s="141"/>
      <c r="E8" s="141"/>
      <c r="F8" s="141"/>
    </row>
    <row r="9" spans="1:7" x14ac:dyDescent="0.25">
      <c r="A9" s="141" t="s">
        <v>156</v>
      </c>
      <c r="B9" s="141"/>
      <c r="C9" s="141"/>
      <c r="D9" s="141"/>
      <c r="E9" s="141"/>
      <c r="F9" s="141"/>
    </row>
    <row r="10" spans="1:7" ht="16.5" customHeight="1" x14ac:dyDescent="0.25">
      <c r="A10" s="140" t="s">
        <v>155</v>
      </c>
      <c r="B10" s="140"/>
      <c r="C10" s="140"/>
      <c r="D10" s="140"/>
      <c r="E10" s="140"/>
      <c r="F10" s="140"/>
    </row>
    <row r="11" spans="1:7" ht="9" customHeight="1" x14ac:dyDescent="0.25"/>
    <row r="12" spans="1:7" ht="43.5" customHeight="1" x14ac:dyDescent="0.25">
      <c r="A12" s="53" t="s">
        <v>5</v>
      </c>
      <c r="B12" s="225" t="s">
        <v>7</v>
      </c>
      <c r="C12" s="226"/>
      <c r="D12" s="227"/>
      <c r="E12" s="137" t="s">
        <v>8</v>
      </c>
      <c r="F12" s="137"/>
    </row>
    <row r="13" spans="1:7" ht="13.5" customHeight="1" x14ac:dyDescent="0.25">
      <c r="A13" s="49">
        <v>1</v>
      </c>
      <c r="B13" s="228">
        <v>2</v>
      </c>
      <c r="C13" s="131"/>
      <c r="D13" s="132"/>
      <c r="E13" s="228">
        <v>3</v>
      </c>
      <c r="F13" s="132"/>
    </row>
    <row r="14" spans="1:7" ht="13.5" customHeight="1" x14ac:dyDescent="0.25">
      <c r="A14" s="136" t="s">
        <v>16</v>
      </c>
      <c r="B14" s="136"/>
      <c r="C14" s="136"/>
      <c r="D14" s="136"/>
      <c r="E14" s="136"/>
      <c r="F14" s="136"/>
    </row>
    <row r="15" spans="1:7" x14ac:dyDescent="0.25">
      <c r="A15" s="49">
        <v>1</v>
      </c>
      <c r="B15" s="82" t="s">
        <v>12</v>
      </c>
      <c r="C15" s="83"/>
      <c r="D15" s="84"/>
      <c r="E15" s="133">
        <v>131675.818</v>
      </c>
      <c r="F15" s="134"/>
    </row>
    <row r="16" spans="1:7" x14ac:dyDescent="0.25">
      <c r="A16" s="124" t="s">
        <v>18</v>
      </c>
      <c r="B16" s="125"/>
      <c r="C16" s="125"/>
      <c r="D16" s="125"/>
      <c r="E16" s="144">
        <f>SUM(E15:F15)</f>
        <v>131675.818</v>
      </c>
      <c r="F16" s="145"/>
    </row>
    <row r="17" spans="1:8" x14ac:dyDescent="0.25">
      <c r="A17" s="136" t="s">
        <v>19</v>
      </c>
      <c r="B17" s="136"/>
      <c r="C17" s="136"/>
      <c r="D17" s="136"/>
      <c r="E17" s="136"/>
      <c r="F17" s="136"/>
    </row>
    <row r="18" spans="1:8" ht="15" customHeight="1" x14ac:dyDescent="0.25">
      <c r="A18" s="6">
        <v>2</v>
      </c>
      <c r="B18" s="146" t="s">
        <v>12</v>
      </c>
      <c r="C18" s="146"/>
      <c r="D18" s="146"/>
      <c r="E18" s="142">
        <v>94324.182000000001</v>
      </c>
      <c r="F18" s="142"/>
    </row>
    <row r="19" spans="1:8" x14ac:dyDescent="0.25">
      <c r="A19" s="136" t="s">
        <v>13</v>
      </c>
      <c r="B19" s="136"/>
      <c r="C19" s="136"/>
      <c r="D19" s="136"/>
      <c r="E19" s="147">
        <f>SUM(E18:F18)</f>
        <v>94324.182000000001</v>
      </c>
      <c r="F19" s="147"/>
    </row>
    <row r="20" spans="1:8" x14ac:dyDescent="0.25">
      <c r="A20" s="136" t="s">
        <v>193</v>
      </c>
      <c r="B20" s="136"/>
      <c r="C20" s="136"/>
      <c r="D20" s="136"/>
      <c r="E20" s="136"/>
      <c r="F20" s="136"/>
    </row>
    <row r="21" spans="1:8" s="11" customFormat="1" x14ac:dyDescent="0.25">
      <c r="A21" s="224" t="s">
        <v>9</v>
      </c>
      <c r="B21" s="224"/>
      <c r="C21" s="224"/>
      <c r="D21" s="224"/>
      <c r="E21" s="224"/>
      <c r="F21" s="224"/>
      <c r="H21" s="13"/>
    </row>
    <row r="22" spans="1:8" s="11" customFormat="1" hidden="1" x14ac:dyDescent="0.25">
      <c r="A22" s="10">
        <v>5</v>
      </c>
      <c r="B22" s="221" t="s">
        <v>114</v>
      </c>
      <c r="C22" s="222"/>
      <c r="D22" s="223"/>
      <c r="E22" s="183"/>
      <c r="F22" s="184"/>
      <c r="H22" s="13"/>
    </row>
    <row r="23" spans="1:8" s="11" customFormat="1" hidden="1" x14ac:dyDescent="0.25">
      <c r="A23" s="10"/>
      <c r="B23" s="200"/>
      <c r="C23" s="201"/>
      <c r="D23" s="202"/>
      <c r="E23" s="219">
        <v>0</v>
      </c>
      <c r="F23" s="220"/>
      <c r="H23" s="13"/>
    </row>
    <row r="24" spans="1:8" s="11" customFormat="1" hidden="1" x14ac:dyDescent="0.25">
      <c r="A24" s="10"/>
      <c r="B24" s="200"/>
      <c r="C24" s="201"/>
      <c r="D24" s="202"/>
      <c r="E24" s="219">
        <v>0</v>
      </c>
      <c r="F24" s="220"/>
      <c r="H24" s="13"/>
    </row>
    <row r="25" spans="1:8" s="11" customFormat="1" ht="15.75" x14ac:dyDescent="0.25">
      <c r="A25" s="10" t="s">
        <v>158</v>
      </c>
      <c r="B25" s="190" t="s">
        <v>115</v>
      </c>
      <c r="C25" s="191"/>
      <c r="D25" s="192"/>
      <c r="E25" s="219"/>
      <c r="F25" s="220"/>
      <c r="H25" s="13"/>
    </row>
    <row r="26" spans="1:8" s="11" customFormat="1" x14ac:dyDescent="0.25">
      <c r="A26" s="10" t="s">
        <v>159</v>
      </c>
      <c r="B26" s="200" t="s">
        <v>99</v>
      </c>
      <c r="C26" s="201"/>
      <c r="D26" s="202"/>
      <c r="E26" s="212">
        <f>9370-221.78203</f>
        <v>9148.2179699999997</v>
      </c>
      <c r="F26" s="213"/>
      <c r="H26" s="13"/>
    </row>
    <row r="27" spans="1:8" s="11" customFormat="1" x14ac:dyDescent="0.25">
      <c r="A27" s="10" t="s">
        <v>160</v>
      </c>
      <c r="B27" s="200" t="s">
        <v>100</v>
      </c>
      <c r="C27" s="201"/>
      <c r="D27" s="202"/>
      <c r="E27" s="212">
        <f>54420-15866.31308</f>
        <v>38553.68692</v>
      </c>
      <c r="F27" s="213"/>
      <c r="H27" s="13"/>
    </row>
    <row r="28" spans="1:8" s="11" customFormat="1" ht="16.5" customHeight="1" x14ac:dyDescent="0.25">
      <c r="A28" s="10" t="s">
        <v>161</v>
      </c>
      <c r="B28" s="232" t="s">
        <v>101</v>
      </c>
      <c r="C28" s="233"/>
      <c r="D28" s="234"/>
      <c r="E28" s="212">
        <f>19680-1770.4549</f>
        <v>17909.545099999999</v>
      </c>
      <c r="F28" s="213"/>
      <c r="H28" s="13"/>
    </row>
    <row r="29" spans="1:8" s="11" customFormat="1" x14ac:dyDescent="0.25">
      <c r="A29" s="10" t="s">
        <v>162</v>
      </c>
      <c r="B29" s="200" t="s">
        <v>102</v>
      </c>
      <c r="C29" s="201"/>
      <c r="D29" s="202"/>
      <c r="E29" s="212">
        <f>4848-728.1876</f>
        <v>4119.8123999999998</v>
      </c>
      <c r="F29" s="213"/>
      <c r="H29" s="13"/>
    </row>
    <row r="30" spans="1:8" s="11" customFormat="1" x14ac:dyDescent="0.25">
      <c r="A30" s="10" t="s">
        <v>163</v>
      </c>
      <c r="B30" s="200" t="s">
        <v>103</v>
      </c>
      <c r="C30" s="201"/>
      <c r="D30" s="202"/>
      <c r="E30" s="212">
        <f>32301-1251.79014</f>
        <v>31049.209859999999</v>
      </c>
      <c r="F30" s="213"/>
      <c r="H30" s="13"/>
    </row>
    <row r="31" spans="1:8" s="11" customFormat="1" ht="30" customHeight="1" x14ac:dyDescent="0.25">
      <c r="A31" s="10" t="s">
        <v>164</v>
      </c>
      <c r="B31" s="200" t="s">
        <v>104</v>
      </c>
      <c r="C31" s="201"/>
      <c r="D31" s="202"/>
      <c r="E31" s="212">
        <f>12052-1538.93782</f>
        <v>10513.062180000001</v>
      </c>
      <c r="F31" s="213"/>
      <c r="H31" s="13"/>
    </row>
    <row r="32" spans="1:8" s="11" customFormat="1" ht="30" hidden="1" customHeight="1" x14ac:dyDescent="0.25">
      <c r="A32" s="10" t="s">
        <v>64</v>
      </c>
      <c r="B32" s="200" t="s">
        <v>105</v>
      </c>
      <c r="C32" s="201"/>
      <c r="D32" s="202"/>
      <c r="E32" s="212">
        <v>0</v>
      </c>
      <c r="F32" s="213"/>
      <c r="H32" s="13"/>
    </row>
    <row r="33" spans="1:8" s="11" customFormat="1" x14ac:dyDescent="0.25">
      <c r="A33" s="10" t="s">
        <v>165</v>
      </c>
      <c r="B33" s="200" t="s">
        <v>106</v>
      </c>
      <c r="C33" s="201"/>
      <c r="D33" s="202"/>
      <c r="E33" s="212">
        <f>20000-12449.26592</f>
        <v>7550.7340800000002</v>
      </c>
      <c r="F33" s="213"/>
      <c r="H33" s="13"/>
    </row>
    <row r="34" spans="1:8" s="11" customFormat="1" x14ac:dyDescent="0.25">
      <c r="A34" s="10" t="s">
        <v>166</v>
      </c>
      <c r="B34" s="200" t="s">
        <v>107</v>
      </c>
      <c r="C34" s="201"/>
      <c r="D34" s="202"/>
      <c r="E34" s="212">
        <f>5700-502.73544</f>
        <v>5197.2645599999996</v>
      </c>
      <c r="F34" s="213"/>
      <c r="H34" s="13"/>
    </row>
    <row r="35" spans="1:8" s="11" customFormat="1" x14ac:dyDescent="0.25">
      <c r="A35" s="10" t="s">
        <v>167</v>
      </c>
      <c r="B35" s="200" t="s">
        <v>108</v>
      </c>
      <c r="C35" s="201"/>
      <c r="D35" s="202"/>
      <c r="E35" s="212">
        <f>24130-12961.66188</f>
        <v>11168.33812</v>
      </c>
      <c r="F35" s="213"/>
      <c r="H35" s="13"/>
    </row>
    <row r="36" spans="1:8" s="11" customFormat="1" x14ac:dyDescent="0.25">
      <c r="A36" s="10" t="s">
        <v>168</v>
      </c>
      <c r="B36" s="200" t="s">
        <v>109</v>
      </c>
      <c r="C36" s="201"/>
      <c r="D36" s="202"/>
      <c r="E36" s="212">
        <f>30000-13598.73435</f>
        <v>16401.265650000001</v>
      </c>
      <c r="F36" s="213"/>
      <c r="H36" s="13"/>
    </row>
    <row r="37" spans="1:8" s="11" customFormat="1" ht="45" customHeight="1" x14ac:dyDescent="0.25">
      <c r="A37" s="10" t="s">
        <v>169</v>
      </c>
      <c r="B37" s="200" t="s">
        <v>110</v>
      </c>
      <c r="C37" s="201"/>
      <c r="D37" s="202"/>
      <c r="E37" s="198">
        <f>19980.633-1685.07659</f>
        <v>18295.556410000001</v>
      </c>
      <c r="F37" s="199"/>
      <c r="H37" s="13"/>
    </row>
    <row r="38" spans="1:8" s="11" customFormat="1" ht="16.5" customHeight="1" x14ac:dyDescent="0.25">
      <c r="A38" s="10" t="s">
        <v>170</v>
      </c>
      <c r="B38" s="232" t="s">
        <v>111</v>
      </c>
      <c r="C38" s="233"/>
      <c r="D38" s="234"/>
      <c r="E38" s="212">
        <f>2700-761.50048</f>
        <v>1938.4995199999998</v>
      </c>
      <c r="F38" s="213"/>
      <c r="H38" s="13"/>
    </row>
    <row r="39" spans="1:8" s="11" customFormat="1" ht="30" customHeight="1" x14ac:dyDescent="0.25">
      <c r="A39" s="10" t="s">
        <v>171</v>
      </c>
      <c r="B39" s="200" t="s">
        <v>112</v>
      </c>
      <c r="C39" s="201"/>
      <c r="D39" s="202"/>
      <c r="E39" s="212">
        <f>4945-276.89784</f>
        <v>4668.1021600000004</v>
      </c>
      <c r="F39" s="213"/>
      <c r="H39" s="13"/>
    </row>
    <row r="40" spans="1:8" s="11" customFormat="1" x14ac:dyDescent="0.25">
      <c r="A40" s="10" t="s">
        <v>172</v>
      </c>
      <c r="B40" s="200" t="s">
        <v>113</v>
      </c>
      <c r="C40" s="201"/>
      <c r="D40" s="202"/>
      <c r="E40" s="212">
        <f>860-30.77978</f>
        <v>829.22022000000004</v>
      </c>
      <c r="F40" s="213"/>
      <c r="H40" s="13"/>
    </row>
    <row r="41" spans="1:8" s="11" customFormat="1" x14ac:dyDescent="0.25">
      <c r="A41" s="10" t="s">
        <v>173</v>
      </c>
      <c r="B41" s="200" t="s">
        <v>50</v>
      </c>
      <c r="C41" s="201"/>
      <c r="D41" s="202"/>
      <c r="E41" s="212">
        <f>13846-92.23624</f>
        <v>13753.76376</v>
      </c>
      <c r="F41" s="213"/>
      <c r="H41" s="13"/>
    </row>
    <row r="42" spans="1:8" s="11" customFormat="1" x14ac:dyDescent="0.25">
      <c r="A42" s="10" t="s">
        <v>174</v>
      </c>
      <c r="B42" s="200" t="s">
        <v>51</v>
      </c>
      <c r="C42" s="201"/>
      <c r="D42" s="202"/>
      <c r="E42" s="212">
        <f>4930-3.07402</f>
        <v>4926.92598</v>
      </c>
      <c r="F42" s="213"/>
      <c r="H42" s="13"/>
    </row>
    <row r="43" spans="1:8" s="11" customFormat="1" x14ac:dyDescent="0.25">
      <c r="A43" s="12">
        <v>4</v>
      </c>
      <c r="B43" s="193" t="s">
        <v>53</v>
      </c>
      <c r="C43" s="194"/>
      <c r="D43" s="195"/>
      <c r="E43" s="212"/>
      <c r="F43" s="213"/>
      <c r="H43" s="13"/>
    </row>
    <row r="44" spans="1:8" s="11" customFormat="1" x14ac:dyDescent="0.25">
      <c r="A44" s="10" t="s">
        <v>175</v>
      </c>
      <c r="B44" s="185" t="s">
        <v>116</v>
      </c>
      <c r="C44" s="186"/>
      <c r="D44" s="187"/>
      <c r="E44" s="212">
        <f>46080-5199.18084</f>
        <v>40880.819159999999</v>
      </c>
      <c r="F44" s="213"/>
      <c r="H44" s="13"/>
    </row>
    <row r="45" spans="1:8" s="11" customFormat="1" hidden="1" x14ac:dyDescent="0.25">
      <c r="A45" s="10" t="s">
        <v>76</v>
      </c>
      <c r="B45" s="185" t="s">
        <v>117</v>
      </c>
      <c r="C45" s="186"/>
      <c r="D45" s="187"/>
      <c r="E45" s="212">
        <v>0</v>
      </c>
      <c r="F45" s="213"/>
      <c r="H45" s="13"/>
    </row>
    <row r="46" spans="1:8" s="11" customFormat="1" hidden="1" x14ac:dyDescent="0.25">
      <c r="A46" s="10" t="s">
        <v>77</v>
      </c>
      <c r="B46" s="185" t="s">
        <v>118</v>
      </c>
      <c r="C46" s="186"/>
      <c r="D46" s="187"/>
      <c r="E46" s="212">
        <v>0</v>
      </c>
      <c r="F46" s="213"/>
      <c r="H46" s="13"/>
    </row>
    <row r="47" spans="1:8" s="11" customFormat="1" x14ac:dyDescent="0.25">
      <c r="A47" s="10"/>
      <c r="B47" s="214" t="s">
        <v>20</v>
      </c>
      <c r="C47" s="215"/>
      <c r="D47" s="216"/>
      <c r="E47" s="217">
        <f>SUM(E22:F46)</f>
        <v>236904.02405000001</v>
      </c>
      <c r="F47" s="218"/>
      <c r="H47" s="13"/>
    </row>
    <row r="48" spans="1:8" s="11" customFormat="1" x14ac:dyDescent="0.25">
      <c r="A48" s="190" t="s">
        <v>54</v>
      </c>
      <c r="B48" s="191"/>
      <c r="C48" s="191"/>
      <c r="D48" s="192"/>
      <c r="E48" s="183"/>
      <c r="F48" s="184"/>
      <c r="H48" s="13"/>
    </row>
    <row r="49" spans="1:8" s="11" customFormat="1" ht="27" customHeight="1" x14ac:dyDescent="0.25">
      <c r="A49" s="12">
        <v>5</v>
      </c>
      <c r="B49" s="174" t="s">
        <v>134</v>
      </c>
      <c r="C49" s="175"/>
      <c r="D49" s="176"/>
      <c r="E49" s="212">
        <f>58020-17778.38448</f>
        <v>40241.615519999999</v>
      </c>
      <c r="F49" s="213"/>
      <c r="H49" s="13">
        <f>E47+E49+E51+E53+E55+E58</f>
        <v>316672.48161000002</v>
      </c>
    </row>
    <row r="50" spans="1:8" s="11" customFormat="1" x14ac:dyDescent="0.25">
      <c r="A50" s="180" t="s">
        <v>55</v>
      </c>
      <c r="B50" s="181"/>
      <c r="C50" s="181"/>
      <c r="D50" s="182"/>
      <c r="E50" s="183"/>
      <c r="F50" s="184"/>
      <c r="H50" s="13"/>
    </row>
    <row r="51" spans="1:8" s="11" customFormat="1" x14ac:dyDescent="0.25">
      <c r="A51" s="12">
        <v>6</v>
      </c>
      <c r="B51" s="185" t="s">
        <v>135</v>
      </c>
      <c r="C51" s="186"/>
      <c r="D51" s="187"/>
      <c r="E51" s="212">
        <v>3016.489</v>
      </c>
      <c r="F51" s="213"/>
      <c r="H51" s="13" t="e">
        <f>#REF!+#REF!</f>
        <v>#REF!</v>
      </c>
    </row>
    <row r="52" spans="1:8" s="11" customFormat="1" ht="15" customHeight="1" x14ac:dyDescent="0.25">
      <c r="A52" s="180" t="s">
        <v>137</v>
      </c>
      <c r="B52" s="181"/>
      <c r="C52" s="181"/>
      <c r="D52" s="182"/>
      <c r="E52" s="212"/>
      <c r="F52" s="213"/>
      <c r="H52" s="13"/>
    </row>
    <row r="53" spans="1:8" s="11" customFormat="1" x14ac:dyDescent="0.25">
      <c r="A53" s="12">
        <v>7</v>
      </c>
      <c r="B53" s="174" t="s">
        <v>56</v>
      </c>
      <c r="C53" s="175"/>
      <c r="D53" s="176"/>
      <c r="E53" s="212">
        <f>22553.339-14.98146</f>
        <v>22538.357540000001</v>
      </c>
      <c r="F53" s="213"/>
      <c r="H53" s="13"/>
    </row>
    <row r="54" spans="1:8" s="11" customFormat="1" x14ac:dyDescent="0.25">
      <c r="A54" s="180" t="s">
        <v>138</v>
      </c>
      <c r="B54" s="181"/>
      <c r="C54" s="181"/>
      <c r="D54" s="182"/>
      <c r="E54" s="183"/>
      <c r="F54" s="184"/>
      <c r="H54" s="13"/>
    </row>
    <row r="55" spans="1:8" s="11" customFormat="1" x14ac:dyDescent="0.25">
      <c r="A55" s="12">
        <v>8</v>
      </c>
      <c r="B55" s="185" t="s">
        <v>139</v>
      </c>
      <c r="C55" s="186"/>
      <c r="D55" s="187"/>
      <c r="E55" s="212">
        <v>6751.9</v>
      </c>
      <c r="F55" s="213"/>
      <c r="H55" s="13"/>
    </row>
    <row r="56" spans="1:8" s="11" customFormat="1" ht="15" hidden="1" customHeight="1" x14ac:dyDescent="0.25">
      <c r="A56" s="12">
        <v>13</v>
      </c>
      <c r="B56" s="174" t="s">
        <v>140</v>
      </c>
      <c r="C56" s="175"/>
      <c r="D56" s="176"/>
      <c r="E56" s="212">
        <v>0</v>
      </c>
      <c r="F56" s="213"/>
      <c r="H56" s="13"/>
    </row>
    <row r="57" spans="1:8" s="11" customFormat="1" x14ac:dyDescent="0.25">
      <c r="A57" s="180" t="s">
        <v>149</v>
      </c>
      <c r="B57" s="181"/>
      <c r="C57" s="181"/>
      <c r="D57" s="182"/>
      <c r="E57" s="212"/>
      <c r="F57" s="213"/>
      <c r="H57" s="13"/>
    </row>
    <row r="58" spans="1:8" s="11" customFormat="1" x14ac:dyDescent="0.25">
      <c r="A58" s="12">
        <v>9</v>
      </c>
      <c r="B58" s="174" t="s">
        <v>141</v>
      </c>
      <c r="C58" s="175"/>
      <c r="D58" s="176"/>
      <c r="E58" s="212">
        <f>7510-289.9045</f>
        <v>7220.0955000000004</v>
      </c>
      <c r="F58" s="213"/>
      <c r="H58" s="13"/>
    </row>
    <row r="59" spans="1:8" s="11" customFormat="1" x14ac:dyDescent="0.25">
      <c r="A59" s="10"/>
      <c r="B59" s="214" t="s">
        <v>20</v>
      </c>
      <c r="C59" s="215"/>
      <c r="D59" s="216"/>
      <c r="E59" s="183">
        <f>SUM(E48:F58)</f>
        <v>79768.457559999995</v>
      </c>
      <c r="F59" s="184"/>
      <c r="H59" s="13">
        <f>E47+E59</f>
        <v>316672.48161000002</v>
      </c>
    </row>
    <row r="60" spans="1:8" x14ac:dyDescent="0.25">
      <c r="A60" s="136" t="s">
        <v>15</v>
      </c>
      <c r="B60" s="136"/>
      <c r="C60" s="136"/>
      <c r="D60" s="136"/>
      <c r="E60" s="143">
        <f>E47+E59</f>
        <v>316672.48161000002</v>
      </c>
      <c r="F60" s="143"/>
    </row>
    <row r="61" spans="1:8" x14ac:dyDescent="0.25">
      <c r="A61" s="124" t="s">
        <v>196</v>
      </c>
      <c r="B61" s="125"/>
      <c r="C61" s="125"/>
      <c r="D61" s="125"/>
      <c r="E61" s="125"/>
      <c r="F61" s="126"/>
    </row>
    <row r="62" spans="1:8" ht="16.5" customHeight="1" x14ac:dyDescent="0.25">
      <c r="A62" s="52" t="s">
        <v>176</v>
      </c>
      <c r="B62" s="103" t="s">
        <v>115</v>
      </c>
      <c r="C62" s="104"/>
      <c r="D62" s="105"/>
      <c r="E62" s="210"/>
      <c r="F62" s="211"/>
    </row>
    <row r="63" spans="1:8" s="11" customFormat="1" x14ac:dyDescent="0.25">
      <c r="A63" s="10" t="s">
        <v>82</v>
      </c>
      <c r="B63" s="200" t="s">
        <v>217</v>
      </c>
      <c r="C63" s="201"/>
      <c r="D63" s="202"/>
      <c r="E63" s="188">
        <v>728.18759999999997</v>
      </c>
      <c r="F63" s="189"/>
      <c r="G63" s="30">
        <v>221.78202999999999</v>
      </c>
      <c r="H63" s="55">
        <f>543677*1.18</f>
        <v>641538.86</v>
      </c>
    </row>
    <row r="64" spans="1:8" s="11" customFormat="1" ht="30" customHeight="1" x14ac:dyDescent="0.25">
      <c r="A64" s="10" t="s">
        <v>177</v>
      </c>
      <c r="B64" s="200" t="s">
        <v>101</v>
      </c>
      <c r="C64" s="201"/>
      <c r="D64" s="202"/>
      <c r="E64" s="188">
        <f t="shared" ref="E64:E91" si="0">H64/1000</f>
        <v>1603.9539399999999</v>
      </c>
      <c r="F64" s="189"/>
      <c r="G64" s="30">
        <v>1770.4549</v>
      </c>
      <c r="H64" s="55">
        <f>(822884+536399)*1.18</f>
        <v>1603953.94</v>
      </c>
    </row>
    <row r="65" spans="1:8" s="11" customFormat="1" x14ac:dyDescent="0.25">
      <c r="A65" s="10" t="s">
        <v>198</v>
      </c>
      <c r="B65" s="200" t="s">
        <v>102</v>
      </c>
      <c r="C65" s="201"/>
      <c r="D65" s="202"/>
      <c r="E65" s="188">
        <f t="shared" si="0"/>
        <v>2715.3215999999998</v>
      </c>
      <c r="F65" s="189"/>
      <c r="G65" s="30">
        <v>728.18759999999997</v>
      </c>
      <c r="H65" s="55">
        <f>2301120*1.18</f>
        <v>2715321.5999999996</v>
      </c>
    </row>
    <row r="66" spans="1:8" s="11" customFormat="1" ht="15" customHeight="1" x14ac:dyDescent="0.25">
      <c r="A66" s="10"/>
      <c r="B66" s="200" t="s">
        <v>103</v>
      </c>
      <c r="C66" s="201"/>
      <c r="D66" s="202"/>
      <c r="E66" s="188">
        <f t="shared" si="0"/>
        <v>0</v>
      </c>
      <c r="F66" s="189"/>
      <c r="G66" s="30">
        <v>1251.7901400000001</v>
      </c>
      <c r="H66" s="55"/>
    </row>
    <row r="67" spans="1:8" s="11" customFormat="1" ht="30" customHeight="1" x14ac:dyDescent="0.25">
      <c r="A67" s="10" t="s">
        <v>199</v>
      </c>
      <c r="B67" s="200" t="s">
        <v>104</v>
      </c>
      <c r="C67" s="201"/>
      <c r="D67" s="202"/>
      <c r="E67" s="188">
        <f t="shared" si="0"/>
        <v>11779.406639999999</v>
      </c>
      <c r="F67" s="189"/>
      <c r="G67" s="30">
        <v>1538.9378200000001</v>
      </c>
      <c r="H67" s="55">
        <f>9982548*1.18</f>
        <v>11779406.639999999</v>
      </c>
    </row>
    <row r="68" spans="1:8" s="11" customFormat="1" ht="30" customHeight="1" x14ac:dyDescent="0.25">
      <c r="A68" s="10"/>
      <c r="B68" s="205" t="s">
        <v>105</v>
      </c>
      <c r="C68" s="206"/>
      <c r="D68" s="207"/>
      <c r="E68" s="188">
        <f t="shared" si="0"/>
        <v>0</v>
      </c>
      <c r="F68" s="189"/>
      <c r="G68" s="32"/>
      <c r="H68" s="56"/>
    </row>
    <row r="69" spans="1:8" s="11" customFormat="1" ht="15" customHeight="1" x14ac:dyDescent="0.25">
      <c r="A69" s="10"/>
      <c r="B69" s="205" t="s">
        <v>106</v>
      </c>
      <c r="C69" s="206"/>
      <c r="D69" s="207"/>
      <c r="E69" s="188">
        <f t="shared" si="0"/>
        <v>0</v>
      </c>
      <c r="F69" s="189"/>
      <c r="G69" s="32"/>
      <c r="H69" s="56"/>
    </row>
    <row r="70" spans="1:8" s="11" customFormat="1" ht="15" customHeight="1" x14ac:dyDescent="0.25">
      <c r="A70" s="10"/>
      <c r="B70" s="200" t="s">
        <v>107</v>
      </c>
      <c r="C70" s="201"/>
      <c r="D70" s="202"/>
      <c r="E70" s="188">
        <f t="shared" si="0"/>
        <v>0</v>
      </c>
      <c r="F70" s="189"/>
      <c r="G70" s="30">
        <v>502.73543999999998</v>
      </c>
      <c r="H70" s="55"/>
    </row>
    <row r="71" spans="1:8" s="11" customFormat="1" ht="15" customHeight="1" x14ac:dyDescent="0.25">
      <c r="A71" s="10"/>
      <c r="B71" s="200" t="s">
        <v>108</v>
      </c>
      <c r="C71" s="201"/>
      <c r="D71" s="202"/>
      <c r="E71" s="188">
        <f t="shared" si="0"/>
        <v>0</v>
      </c>
      <c r="F71" s="189"/>
      <c r="G71" s="30">
        <v>12961.66188</v>
      </c>
      <c r="H71" s="55"/>
    </row>
    <row r="72" spans="1:8" s="11" customFormat="1" x14ac:dyDescent="0.25">
      <c r="A72" s="10" t="s">
        <v>200</v>
      </c>
      <c r="B72" s="200" t="s">
        <v>109</v>
      </c>
      <c r="C72" s="201"/>
      <c r="D72" s="202"/>
      <c r="E72" s="188">
        <f t="shared" si="0"/>
        <v>2182.9339199999999</v>
      </c>
      <c r="F72" s="189"/>
      <c r="G72" s="30">
        <v>13598.734350000001</v>
      </c>
      <c r="H72" s="55">
        <f>(36475+1228531+158974+425964)*1.18</f>
        <v>2182933.92</v>
      </c>
    </row>
    <row r="73" spans="1:8" s="11" customFormat="1" ht="45" customHeight="1" x14ac:dyDescent="0.25">
      <c r="A73" s="10"/>
      <c r="B73" s="200" t="s">
        <v>110</v>
      </c>
      <c r="C73" s="201"/>
      <c r="D73" s="202"/>
      <c r="E73" s="188">
        <f t="shared" si="0"/>
        <v>0</v>
      </c>
      <c r="F73" s="189"/>
      <c r="G73" s="34">
        <v>1685.0765899999999</v>
      </c>
      <c r="H73" s="57"/>
    </row>
    <row r="74" spans="1:8" s="11" customFormat="1" ht="30" customHeight="1" x14ac:dyDescent="0.25">
      <c r="A74" s="10" t="s">
        <v>201</v>
      </c>
      <c r="B74" s="200" t="s">
        <v>111</v>
      </c>
      <c r="C74" s="201"/>
      <c r="D74" s="202"/>
      <c r="E74" s="188">
        <f t="shared" si="0"/>
        <v>12070.869000000001</v>
      </c>
      <c r="F74" s="189"/>
      <c r="G74" s="30">
        <v>761.50048000000004</v>
      </c>
      <c r="H74" s="55">
        <f>(144568+3483899+6601083)*1.18</f>
        <v>12070869</v>
      </c>
    </row>
    <row r="75" spans="1:8" s="11" customFormat="1" ht="28.5" customHeight="1" x14ac:dyDescent="0.25">
      <c r="A75" s="10"/>
      <c r="B75" s="200" t="s">
        <v>112</v>
      </c>
      <c r="C75" s="201"/>
      <c r="D75" s="202"/>
      <c r="E75" s="188">
        <f t="shared" si="0"/>
        <v>0</v>
      </c>
      <c r="F75" s="189"/>
      <c r="G75" s="30">
        <v>276.89783999999997</v>
      </c>
      <c r="H75" s="55"/>
    </row>
    <row r="76" spans="1:8" s="11" customFormat="1" x14ac:dyDescent="0.25">
      <c r="A76" s="10" t="s">
        <v>203</v>
      </c>
      <c r="B76" s="200" t="s">
        <v>205</v>
      </c>
      <c r="C76" s="201"/>
      <c r="D76" s="202"/>
      <c r="E76" s="188">
        <f t="shared" si="0"/>
        <v>791.35991999999987</v>
      </c>
      <c r="F76" s="189"/>
      <c r="G76" s="30">
        <v>30.779779999999999</v>
      </c>
      <c r="H76" s="55">
        <f>(456590+214054)*1.18</f>
        <v>791359.91999999993</v>
      </c>
    </row>
    <row r="77" spans="1:8" s="11" customFormat="1" ht="15" customHeight="1" x14ac:dyDescent="0.25">
      <c r="A77" s="10"/>
      <c r="B77" s="200" t="s">
        <v>50</v>
      </c>
      <c r="C77" s="201"/>
      <c r="D77" s="202"/>
      <c r="E77" s="188">
        <f t="shared" si="0"/>
        <v>0</v>
      </c>
      <c r="F77" s="189"/>
      <c r="G77" s="30">
        <v>92.236239999999995</v>
      </c>
      <c r="H77" s="55"/>
    </row>
    <row r="78" spans="1:8" s="11" customFormat="1" x14ac:dyDescent="0.25">
      <c r="A78" s="10" t="s">
        <v>204</v>
      </c>
      <c r="B78" s="200" t="s">
        <v>51</v>
      </c>
      <c r="C78" s="201"/>
      <c r="D78" s="202"/>
      <c r="E78" s="188">
        <f t="shared" si="0"/>
        <v>0</v>
      </c>
      <c r="F78" s="189"/>
      <c r="G78" s="30">
        <v>3.07402</v>
      </c>
      <c r="H78" s="55">
        <v>0</v>
      </c>
    </row>
    <row r="79" spans="1:8" s="11" customFormat="1" x14ac:dyDescent="0.25">
      <c r="A79" s="12">
        <v>11</v>
      </c>
      <c r="B79" s="193" t="s">
        <v>53</v>
      </c>
      <c r="C79" s="194"/>
      <c r="D79" s="195"/>
      <c r="E79" s="188"/>
      <c r="F79" s="189"/>
      <c r="G79" s="30"/>
      <c r="H79" s="55"/>
    </row>
    <row r="80" spans="1:8" s="11" customFormat="1" x14ac:dyDescent="0.25">
      <c r="A80" s="10" t="s">
        <v>178</v>
      </c>
      <c r="B80" s="185" t="s">
        <v>116</v>
      </c>
      <c r="C80" s="186"/>
      <c r="D80" s="187"/>
      <c r="E80" s="188">
        <f t="shared" si="0"/>
        <v>6567.0445599999994</v>
      </c>
      <c r="F80" s="189"/>
      <c r="G80" s="30">
        <v>5199.18084</v>
      </c>
      <c r="H80" s="55">
        <f>(466607+1160986+3937699)*1.18</f>
        <v>6567044.5599999996</v>
      </c>
    </row>
    <row r="81" spans="1:8" s="11" customFormat="1" ht="15" customHeight="1" x14ac:dyDescent="0.25">
      <c r="A81" s="10" t="s">
        <v>179</v>
      </c>
      <c r="B81" s="185" t="s">
        <v>117</v>
      </c>
      <c r="C81" s="186"/>
      <c r="D81" s="187"/>
      <c r="E81" s="188">
        <f t="shared" si="0"/>
        <v>0</v>
      </c>
      <c r="F81" s="189"/>
      <c r="G81" s="30">
        <v>2300</v>
      </c>
      <c r="H81" s="55"/>
    </row>
    <row r="82" spans="1:8" s="11" customFormat="1" ht="15" customHeight="1" x14ac:dyDescent="0.25">
      <c r="A82" s="10" t="s">
        <v>180</v>
      </c>
      <c r="B82" s="185" t="s">
        <v>118</v>
      </c>
      <c r="C82" s="186"/>
      <c r="D82" s="187"/>
      <c r="E82" s="188">
        <f t="shared" si="0"/>
        <v>0</v>
      </c>
      <c r="F82" s="189"/>
      <c r="G82" s="30">
        <v>320</v>
      </c>
      <c r="H82" s="55"/>
    </row>
    <row r="83" spans="1:8" s="11" customFormat="1" ht="15" customHeight="1" x14ac:dyDescent="0.25">
      <c r="A83" s="14" t="s">
        <v>206</v>
      </c>
      <c r="B83" s="190" t="s">
        <v>210</v>
      </c>
      <c r="C83" s="191"/>
      <c r="D83" s="192"/>
      <c r="E83" s="188"/>
      <c r="F83" s="189"/>
      <c r="G83" s="36"/>
      <c r="H83" s="61"/>
    </row>
    <row r="84" spans="1:8" s="11" customFormat="1" x14ac:dyDescent="0.25">
      <c r="A84" s="10" t="s">
        <v>181</v>
      </c>
      <c r="B84" s="174" t="s">
        <v>208</v>
      </c>
      <c r="C84" s="175"/>
      <c r="D84" s="176"/>
      <c r="E84" s="188">
        <f t="shared" si="0"/>
        <v>1137.1258799999998</v>
      </c>
      <c r="F84" s="189"/>
      <c r="G84" s="36"/>
      <c r="H84" s="61">
        <f>963666*1.18</f>
        <v>1137125.8799999999</v>
      </c>
    </row>
    <row r="85" spans="1:8" s="11" customFormat="1" ht="28.5" customHeight="1" x14ac:dyDescent="0.25">
      <c r="A85" s="10" t="s">
        <v>182</v>
      </c>
      <c r="B85" s="174" t="s">
        <v>209</v>
      </c>
      <c r="C85" s="175"/>
      <c r="D85" s="176"/>
      <c r="E85" s="188">
        <f t="shared" si="0"/>
        <v>9745.8772399999998</v>
      </c>
      <c r="F85" s="189"/>
      <c r="G85" s="38">
        <v>17778.384480000001</v>
      </c>
      <c r="H85" s="59">
        <f>(2905730+5353488)*1.18</f>
        <v>9745877.2400000002</v>
      </c>
    </row>
    <row r="86" spans="1:8" s="11" customFormat="1" ht="15" customHeight="1" x14ac:dyDescent="0.25">
      <c r="A86" s="15" t="s">
        <v>183</v>
      </c>
      <c r="B86" s="179" t="s">
        <v>151</v>
      </c>
      <c r="C86" s="179"/>
      <c r="D86" s="179"/>
      <c r="E86" s="188"/>
      <c r="F86" s="189"/>
      <c r="G86" s="38"/>
      <c r="H86" s="59"/>
    </row>
    <row r="87" spans="1:8" s="11" customFormat="1" x14ac:dyDescent="0.25">
      <c r="A87" s="10" t="s">
        <v>184</v>
      </c>
      <c r="B87" s="174" t="s">
        <v>56</v>
      </c>
      <c r="C87" s="175"/>
      <c r="D87" s="176"/>
      <c r="E87" s="188">
        <f t="shared" si="0"/>
        <v>9554.2351200000012</v>
      </c>
      <c r="F87" s="189"/>
      <c r="G87" s="38">
        <v>14.98146</v>
      </c>
      <c r="H87" s="59">
        <f>(650916+5027368)*1.18+2853860</f>
        <v>9554235.120000001</v>
      </c>
    </row>
    <row r="88" spans="1:8" s="11" customFormat="1" ht="15" customHeight="1" x14ac:dyDescent="0.25">
      <c r="A88" s="42"/>
      <c r="B88" s="180" t="s">
        <v>152</v>
      </c>
      <c r="C88" s="181"/>
      <c r="D88" s="182"/>
      <c r="E88" s="188">
        <f t="shared" si="0"/>
        <v>0</v>
      </c>
      <c r="F88" s="189"/>
      <c r="G88" s="36"/>
      <c r="H88" s="58"/>
    </row>
    <row r="89" spans="1:8" s="11" customFormat="1" ht="15" customHeight="1" x14ac:dyDescent="0.25">
      <c r="A89" s="42"/>
      <c r="B89" s="174" t="s">
        <v>140</v>
      </c>
      <c r="C89" s="175"/>
      <c r="D89" s="176"/>
      <c r="E89" s="188">
        <f t="shared" si="0"/>
        <v>0</v>
      </c>
      <c r="F89" s="189"/>
      <c r="G89" s="38">
        <v>920</v>
      </c>
      <c r="H89" s="59"/>
    </row>
    <row r="90" spans="1:8" s="11" customFormat="1" x14ac:dyDescent="0.25">
      <c r="A90" s="15" t="s">
        <v>185</v>
      </c>
      <c r="B90" s="179" t="s">
        <v>153</v>
      </c>
      <c r="C90" s="179"/>
      <c r="D90" s="179"/>
      <c r="E90" s="188"/>
      <c r="F90" s="189"/>
      <c r="G90" s="38"/>
      <c r="H90" s="59"/>
    </row>
    <row r="91" spans="1:8" s="11" customFormat="1" x14ac:dyDescent="0.25">
      <c r="A91" s="10" t="s">
        <v>186</v>
      </c>
      <c r="B91" s="174" t="s">
        <v>141</v>
      </c>
      <c r="C91" s="175"/>
      <c r="D91" s="176"/>
      <c r="E91" s="188">
        <f t="shared" si="0"/>
        <v>3456.6329999999998</v>
      </c>
      <c r="F91" s="189"/>
      <c r="G91" s="38">
        <v>289.90449999999998</v>
      </c>
      <c r="H91" s="59">
        <f>(2280058+649292)*1.18</f>
        <v>3456633</v>
      </c>
    </row>
    <row r="92" spans="1:8" ht="15" customHeight="1" x14ac:dyDescent="0.25">
      <c r="A92" s="136" t="s">
        <v>202</v>
      </c>
      <c r="B92" s="136"/>
      <c r="C92" s="136"/>
      <c r="D92" s="136"/>
      <c r="E92" s="170">
        <f>SUM(E62:F91)</f>
        <v>62332.948420000001</v>
      </c>
      <c r="F92" s="171"/>
      <c r="G92" s="40">
        <f>SUM(G62:G91)</f>
        <v>62246.300389999997</v>
      </c>
      <c r="H92" s="60"/>
    </row>
    <row r="93" spans="1:8" x14ac:dyDescent="0.25">
      <c r="A93" s="124"/>
      <c r="B93" s="125"/>
      <c r="C93" s="125"/>
      <c r="D93" s="126"/>
      <c r="E93" s="172"/>
      <c r="F93" s="173"/>
      <c r="G93" s="7">
        <f>G92-E92</f>
        <v>-86.648030000003928</v>
      </c>
      <c r="H93" s="9"/>
    </row>
    <row r="94" spans="1:8" x14ac:dyDescent="0.25">
      <c r="A94" s="124" t="s">
        <v>197</v>
      </c>
      <c r="B94" s="125"/>
      <c r="C94" s="125"/>
      <c r="D94" s="126"/>
      <c r="E94" s="172">
        <f>E16+E19+E60+E92</f>
        <v>605005.43003000005</v>
      </c>
      <c r="F94" s="173"/>
      <c r="H94" s="9"/>
    </row>
    <row r="95" spans="1:8" ht="9" customHeight="1" x14ac:dyDescent="0.25">
      <c r="A95" s="19"/>
      <c r="B95" s="19"/>
      <c r="C95" s="19"/>
      <c r="D95" s="19"/>
      <c r="E95" s="20"/>
      <c r="F95" s="20"/>
      <c r="H95" s="9"/>
    </row>
    <row r="96" spans="1:8" x14ac:dyDescent="0.25">
      <c r="A96" s="150" t="s">
        <v>28</v>
      </c>
      <c r="B96" s="150"/>
      <c r="C96" s="150"/>
      <c r="D96" s="150"/>
      <c r="E96" s="168">
        <f>E94*1000</f>
        <v>605005430.03000009</v>
      </c>
      <c r="F96" s="168"/>
      <c r="G96" s="8"/>
    </row>
    <row r="97" spans="1:6" ht="15" customHeight="1" x14ac:dyDescent="0.25">
      <c r="A97" s="148" t="s">
        <v>29</v>
      </c>
      <c r="B97" s="148"/>
      <c r="C97" s="148"/>
      <c r="D97" s="148"/>
      <c r="E97" s="169">
        <f>E96-E96/1.18</f>
        <v>92288963.902881324</v>
      </c>
      <c r="F97" s="169"/>
    </row>
    <row r="98" spans="1:6" ht="8.25" customHeight="1" x14ac:dyDescent="0.25"/>
    <row r="99" spans="1:6" hidden="1" x14ac:dyDescent="0.25"/>
    <row r="100" spans="1:6" ht="30" customHeight="1" x14ac:dyDescent="0.25">
      <c r="A100" s="141" t="s">
        <v>31</v>
      </c>
      <c r="B100" s="141"/>
      <c r="C100" s="141"/>
      <c r="D100" s="141"/>
      <c r="E100" s="141"/>
      <c r="F100" s="141"/>
    </row>
    <row r="101" spans="1:6" ht="8.25" customHeight="1" x14ac:dyDescent="0.25"/>
    <row r="102" spans="1:6" x14ac:dyDescent="0.25">
      <c r="B102" s="53" t="s">
        <v>32</v>
      </c>
      <c r="C102" s="137" t="s">
        <v>33</v>
      </c>
      <c r="D102" s="137"/>
    </row>
    <row r="103" spans="1:6" ht="10.5" customHeight="1" x14ac:dyDescent="0.25">
      <c r="B103" s="165">
        <v>2013</v>
      </c>
      <c r="C103" s="166"/>
      <c r="D103" s="167"/>
    </row>
    <row r="104" spans="1:6" ht="11.25" customHeight="1" x14ac:dyDescent="0.25">
      <c r="B104" s="53" t="s">
        <v>34</v>
      </c>
      <c r="C104" s="161">
        <v>5.63</v>
      </c>
      <c r="D104" s="161"/>
    </row>
    <row r="105" spans="1:6" x14ac:dyDescent="0.25">
      <c r="B105" s="53" t="s">
        <v>35</v>
      </c>
      <c r="C105" s="161">
        <v>4.09</v>
      </c>
      <c r="D105" s="161"/>
    </row>
    <row r="106" spans="1:6" x14ac:dyDescent="0.25">
      <c r="B106" s="53" t="s">
        <v>36</v>
      </c>
      <c r="C106" s="161">
        <v>6.02</v>
      </c>
      <c r="D106" s="161"/>
    </row>
    <row r="107" spans="1:6" ht="12.75" customHeight="1" x14ac:dyDescent="0.25">
      <c r="B107" s="165">
        <v>2014</v>
      </c>
      <c r="C107" s="166"/>
      <c r="D107" s="167"/>
    </row>
    <row r="108" spans="1:6" x14ac:dyDescent="0.25">
      <c r="B108" s="53" t="s">
        <v>34</v>
      </c>
      <c r="C108" s="161">
        <v>6.03</v>
      </c>
      <c r="D108" s="161"/>
    </row>
    <row r="109" spans="1:6" x14ac:dyDescent="0.25">
      <c r="B109" s="53" t="s">
        <v>35</v>
      </c>
      <c r="C109" s="161">
        <v>4.38</v>
      </c>
      <c r="D109" s="161"/>
    </row>
    <row r="110" spans="1:6" x14ac:dyDescent="0.25">
      <c r="B110" s="53" t="s">
        <v>36</v>
      </c>
      <c r="C110" s="161">
        <v>6.45</v>
      </c>
      <c r="D110" s="161"/>
    </row>
    <row r="111" spans="1:6" ht="11.25" customHeight="1" x14ac:dyDescent="0.25"/>
    <row r="112" spans="1:6" ht="11.25" customHeight="1" x14ac:dyDescent="0.25"/>
    <row r="113" spans="1:6" s="54" customFormat="1" x14ac:dyDescent="0.25">
      <c r="A113" s="63" t="s">
        <v>212</v>
      </c>
    </row>
    <row r="114" spans="1:6" s="54" customFormat="1" x14ac:dyDescent="0.25">
      <c r="A114" s="63" t="s">
        <v>213</v>
      </c>
      <c r="E114" s="62" t="s">
        <v>215</v>
      </c>
    </row>
    <row r="115" spans="1:6" s="54" customFormat="1" x14ac:dyDescent="0.25">
      <c r="A115" s="63"/>
      <c r="E115" s="62"/>
    </row>
    <row r="116" spans="1:6" s="54" customFormat="1" x14ac:dyDescent="0.25">
      <c r="A116" s="63"/>
      <c r="E116" s="62"/>
    </row>
    <row r="117" spans="1:6" s="54" customFormat="1" x14ac:dyDescent="0.25">
      <c r="A117" s="63" t="s">
        <v>214</v>
      </c>
      <c r="E117" s="62" t="s">
        <v>216</v>
      </c>
    </row>
    <row r="118" spans="1:6" s="54" customFormat="1" ht="11.25" customHeight="1" x14ac:dyDescent="0.25">
      <c r="A118" s="22"/>
    </row>
    <row r="119" spans="1:6" s="54" customFormat="1" ht="11.25" customHeight="1" x14ac:dyDescent="0.25"/>
    <row r="120" spans="1:6" s="54" customFormat="1" ht="11.25" customHeight="1" x14ac:dyDescent="0.25"/>
    <row r="121" spans="1:6" ht="18" customHeight="1" x14ac:dyDescent="0.25">
      <c r="A121" s="162" t="s">
        <v>37</v>
      </c>
      <c r="B121" s="162"/>
      <c r="C121" s="162"/>
      <c r="D121" s="162"/>
      <c r="E121" s="162"/>
      <c r="F121" s="162"/>
    </row>
    <row r="122" spans="1:6" x14ac:dyDescent="0.25">
      <c r="A122" s="16"/>
      <c r="B122" s="16" t="s">
        <v>38</v>
      </c>
      <c r="C122" s="16"/>
      <c r="D122" s="163" t="s">
        <v>188</v>
      </c>
      <c r="E122" s="163"/>
      <c r="F122" s="16"/>
    </row>
    <row r="123" spans="1:6" x14ac:dyDescent="0.25">
      <c r="B123" s="21" t="s">
        <v>190</v>
      </c>
      <c r="D123" s="50" t="s">
        <v>194</v>
      </c>
    </row>
    <row r="124" spans="1:6" x14ac:dyDescent="0.25">
      <c r="B124" s="21" t="s">
        <v>40</v>
      </c>
      <c r="D124" s="164" t="s">
        <v>189</v>
      </c>
      <c r="E124" s="164"/>
      <c r="F124" s="164"/>
    </row>
    <row r="125" spans="1:6" x14ac:dyDescent="0.25">
      <c r="B125" s="21" t="s">
        <v>191</v>
      </c>
    </row>
    <row r="126" spans="1:6" x14ac:dyDescent="0.25">
      <c r="B126" s="21" t="s">
        <v>211</v>
      </c>
    </row>
    <row r="127" spans="1:6" ht="15" customHeight="1" x14ac:dyDescent="0.25">
      <c r="B127" s="21" t="s">
        <v>192</v>
      </c>
      <c r="D127" s="51"/>
      <c r="E127" s="139"/>
      <c r="F127" s="139"/>
    </row>
    <row r="128" spans="1:6" ht="24.75" customHeight="1" x14ac:dyDescent="0.25">
      <c r="A128" s="16"/>
      <c r="B128" s="29"/>
      <c r="C128" s="22" t="s">
        <v>207</v>
      </c>
      <c r="D128" s="18"/>
      <c r="E128" s="139" t="s">
        <v>195</v>
      </c>
      <c r="F128" s="139"/>
    </row>
    <row r="131" spans="4:6" x14ac:dyDescent="0.25">
      <c r="D131" s="51"/>
      <c r="E131" s="141"/>
      <c r="F131" s="141"/>
    </row>
  </sheetData>
  <mergeCells count="189">
    <mergeCell ref="D124:F124"/>
    <mergeCell ref="E127:F127"/>
    <mergeCell ref="E128:F128"/>
    <mergeCell ref="E131:F131"/>
    <mergeCell ref="B107:D107"/>
    <mergeCell ref="C108:D108"/>
    <mergeCell ref="C109:D109"/>
    <mergeCell ref="C110:D110"/>
    <mergeCell ref="A121:F121"/>
    <mergeCell ref="D122:E122"/>
    <mergeCell ref="A100:F100"/>
    <mergeCell ref="C102:D102"/>
    <mergeCell ref="B103:D103"/>
    <mergeCell ref="C104:D104"/>
    <mergeCell ref="C105:D105"/>
    <mergeCell ref="C106:D106"/>
    <mergeCell ref="A94:D94"/>
    <mergeCell ref="E94:F94"/>
    <mergeCell ref="A96:D96"/>
    <mergeCell ref="E96:F96"/>
    <mergeCell ref="A97:D97"/>
    <mergeCell ref="E97:F97"/>
    <mergeCell ref="B91:D91"/>
    <mergeCell ref="E91:F91"/>
    <mergeCell ref="A92:D92"/>
    <mergeCell ref="E92:F92"/>
    <mergeCell ref="A93:D93"/>
    <mergeCell ref="E93:F93"/>
    <mergeCell ref="B88:D88"/>
    <mergeCell ref="E88:F88"/>
    <mergeCell ref="B89:D89"/>
    <mergeCell ref="E89:F89"/>
    <mergeCell ref="B90:D90"/>
    <mergeCell ref="E90:F90"/>
    <mergeCell ref="B85:D85"/>
    <mergeCell ref="E85:F85"/>
    <mergeCell ref="B86:D86"/>
    <mergeCell ref="E86:F86"/>
    <mergeCell ref="B87:D87"/>
    <mergeCell ref="E87:F87"/>
    <mergeCell ref="B82:D82"/>
    <mergeCell ref="E82:F82"/>
    <mergeCell ref="B83:D83"/>
    <mergeCell ref="E83:F83"/>
    <mergeCell ref="B84:D84"/>
    <mergeCell ref="E84:F84"/>
    <mergeCell ref="B79:D79"/>
    <mergeCell ref="E79:F79"/>
    <mergeCell ref="B80:D80"/>
    <mergeCell ref="E80:F80"/>
    <mergeCell ref="B81:D81"/>
    <mergeCell ref="E81:F81"/>
    <mergeCell ref="B76:D76"/>
    <mergeCell ref="E76:F76"/>
    <mergeCell ref="B77:D77"/>
    <mergeCell ref="E77:F77"/>
    <mergeCell ref="B78:D78"/>
    <mergeCell ref="E78:F78"/>
    <mergeCell ref="B73:D73"/>
    <mergeCell ref="E73:F73"/>
    <mergeCell ref="B74:D74"/>
    <mergeCell ref="E74:F74"/>
    <mergeCell ref="B75:D75"/>
    <mergeCell ref="E75:F75"/>
    <mergeCell ref="B70:D70"/>
    <mergeCell ref="E70:F70"/>
    <mergeCell ref="B71:D71"/>
    <mergeCell ref="E71:F71"/>
    <mergeCell ref="B72:D72"/>
    <mergeCell ref="E72:F72"/>
    <mergeCell ref="B67:D67"/>
    <mergeCell ref="E67:F67"/>
    <mergeCell ref="B68:D68"/>
    <mergeCell ref="E68:F68"/>
    <mergeCell ref="B69:D69"/>
    <mergeCell ref="E69:F69"/>
    <mergeCell ref="B64:D64"/>
    <mergeCell ref="E64:F64"/>
    <mergeCell ref="B65:D65"/>
    <mergeCell ref="E65:F65"/>
    <mergeCell ref="B66:D66"/>
    <mergeCell ref="E66:F66"/>
    <mergeCell ref="A61:F61"/>
    <mergeCell ref="B62:D62"/>
    <mergeCell ref="E62:F62"/>
    <mergeCell ref="B63:D63"/>
    <mergeCell ref="E63:F63"/>
    <mergeCell ref="B58:D58"/>
    <mergeCell ref="E58:F58"/>
    <mergeCell ref="B59:D59"/>
    <mergeCell ref="E59:F59"/>
    <mergeCell ref="A60:D60"/>
    <mergeCell ref="E60:F60"/>
    <mergeCell ref="B55:D55"/>
    <mergeCell ref="E55:F55"/>
    <mergeCell ref="B56:D56"/>
    <mergeCell ref="E56:F56"/>
    <mergeCell ref="A57:D57"/>
    <mergeCell ref="E57:F57"/>
    <mergeCell ref="A52:D52"/>
    <mergeCell ref="E52:F52"/>
    <mergeCell ref="B53:D53"/>
    <mergeCell ref="E53:F53"/>
    <mergeCell ref="A54:D54"/>
    <mergeCell ref="E54:F54"/>
    <mergeCell ref="B49:D49"/>
    <mergeCell ref="E49:F49"/>
    <mergeCell ref="A50:D50"/>
    <mergeCell ref="E50:F50"/>
    <mergeCell ref="B51:D51"/>
    <mergeCell ref="E51:F51"/>
    <mergeCell ref="B46:D46"/>
    <mergeCell ref="E46:F46"/>
    <mergeCell ref="B47:D47"/>
    <mergeCell ref="E47:F47"/>
    <mergeCell ref="A48:D48"/>
    <mergeCell ref="E48:F48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31:D31"/>
    <mergeCell ref="E31:F31"/>
    <mergeCell ref="B32:D32"/>
    <mergeCell ref="E32:F32"/>
    <mergeCell ref="B33:D33"/>
    <mergeCell ref="E33:F33"/>
    <mergeCell ref="B28:D28"/>
    <mergeCell ref="E28:F28"/>
    <mergeCell ref="B29:D29"/>
    <mergeCell ref="E29:F29"/>
    <mergeCell ref="B30:D30"/>
    <mergeCell ref="E30:F30"/>
    <mergeCell ref="B25:D25"/>
    <mergeCell ref="E25:F25"/>
    <mergeCell ref="B26:D26"/>
    <mergeCell ref="E26:F26"/>
    <mergeCell ref="B27:D27"/>
    <mergeCell ref="E27:F27"/>
    <mergeCell ref="B22:D22"/>
    <mergeCell ref="E22:F22"/>
    <mergeCell ref="B23:D23"/>
    <mergeCell ref="E23:F23"/>
    <mergeCell ref="B24:D24"/>
    <mergeCell ref="E24:F24"/>
    <mergeCell ref="B18:D18"/>
    <mergeCell ref="E18:F18"/>
    <mergeCell ref="A19:D19"/>
    <mergeCell ref="E19:F19"/>
    <mergeCell ref="A20:F20"/>
    <mergeCell ref="A21:F21"/>
    <mergeCell ref="A14:F14"/>
    <mergeCell ref="B15:D15"/>
    <mergeCell ref="E15:F15"/>
    <mergeCell ref="A16:D16"/>
    <mergeCell ref="E16:F16"/>
    <mergeCell ref="A17:F17"/>
    <mergeCell ref="A9:F9"/>
    <mergeCell ref="A10:F10"/>
    <mergeCell ref="B12:D12"/>
    <mergeCell ref="E12:F12"/>
    <mergeCell ref="B13:D13"/>
    <mergeCell ref="E13:F13"/>
    <mergeCell ref="D1:F1"/>
    <mergeCell ref="D2:F2"/>
    <mergeCell ref="D3:F3"/>
    <mergeCell ref="C4:F4"/>
    <mergeCell ref="A7:F7"/>
    <mergeCell ref="A8:F8"/>
  </mergeCells>
  <printOptions horizontalCentered="1"/>
  <pageMargins left="0.51181102362204722" right="0.51181102362204722" top="0.35433070866141736" bottom="0.35433070866141736" header="0" footer="0"/>
  <pageSetup paperSize="9" scale="93" fitToHeight="100" orientation="portrait" r:id="rId1"/>
  <headerFooter alignWithMargins="0"/>
  <rowBreaks count="1" manualBreakCount="1">
    <brk id="120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abSelected="1" view="pageBreakPreview" topLeftCell="A15" zoomScaleNormal="100" zoomScaleSheetLayoutView="100" workbookViewId="0">
      <selection activeCell="D26" sqref="D26"/>
    </sheetView>
  </sheetViews>
  <sheetFormatPr defaultColWidth="9.140625" defaultRowHeight="15" x14ac:dyDescent="0.25"/>
  <cols>
    <col min="1" max="1" width="7.28515625" style="65" customWidth="1"/>
    <col min="2" max="2" width="22" style="65" customWidth="1"/>
    <col min="3" max="3" width="27.7109375" style="65" customWidth="1"/>
    <col min="4" max="4" width="23.42578125" style="65" customWidth="1"/>
    <col min="5" max="5" width="10.42578125" style="65" customWidth="1"/>
    <col min="6" max="6" width="8.28515625" style="65" customWidth="1"/>
    <col min="7" max="7" width="21.5703125" style="65" customWidth="1"/>
    <col min="8" max="16384" width="9.140625" style="65"/>
  </cols>
  <sheetData>
    <row r="1" spans="1:6" hidden="1" x14ac:dyDescent="0.25"/>
    <row r="5" spans="1:6" x14ac:dyDescent="0.25">
      <c r="A5" s="277" t="s">
        <v>219</v>
      </c>
      <c r="B5" s="277"/>
      <c r="C5" s="277"/>
      <c r="D5" s="277"/>
      <c r="E5" s="277"/>
      <c r="F5" s="277"/>
    </row>
    <row r="6" spans="1:6" x14ac:dyDescent="0.25">
      <c r="A6" s="277" t="s">
        <v>218</v>
      </c>
      <c r="B6" s="277"/>
      <c r="C6" s="277"/>
      <c r="D6" s="277"/>
      <c r="E6" s="277"/>
      <c r="F6" s="277"/>
    </row>
    <row r="7" spans="1:6" x14ac:dyDescent="0.25">
      <c r="A7" s="277" t="s">
        <v>220</v>
      </c>
      <c r="B7" s="277"/>
      <c r="C7" s="277"/>
      <c r="D7" s="277"/>
      <c r="E7" s="277"/>
      <c r="F7" s="277"/>
    </row>
    <row r="8" spans="1:6" ht="32.25" hidden="1" customHeight="1" x14ac:dyDescent="0.25">
      <c r="A8" s="273" t="s">
        <v>240</v>
      </c>
      <c r="B8" s="278"/>
      <c r="C8" s="278"/>
      <c r="D8" s="278"/>
      <c r="E8" s="278"/>
      <c r="F8" s="278"/>
    </row>
    <row r="9" spans="1:6" ht="33" hidden="1" customHeight="1" x14ac:dyDescent="0.25">
      <c r="A9" s="273" t="s">
        <v>228</v>
      </c>
      <c r="B9" s="273"/>
      <c r="C9" s="273"/>
      <c r="D9" s="273"/>
      <c r="E9" s="273"/>
      <c r="F9" s="273"/>
    </row>
    <row r="10" spans="1:6" ht="33" customHeight="1" x14ac:dyDescent="0.25">
      <c r="A10" s="80"/>
      <c r="B10" s="80"/>
      <c r="C10" s="80"/>
      <c r="D10" s="80"/>
      <c r="E10" s="80"/>
      <c r="F10" s="80"/>
    </row>
    <row r="11" spans="1:6" ht="43.5" customHeight="1" x14ac:dyDescent="0.25">
      <c r="A11" s="75" t="s">
        <v>5</v>
      </c>
      <c r="B11" s="274" t="s">
        <v>7</v>
      </c>
      <c r="C11" s="275"/>
      <c r="D11" s="276"/>
      <c r="E11" s="274" t="s">
        <v>226</v>
      </c>
      <c r="F11" s="276"/>
    </row>
    <row r="12" spans="1:6" ht="28.5" customHeight="1" x14ac:dyDescent="0.25">
      <c r="A12" s="78" t="s">
        <v>235</v>
      </c>
      <c r="B12" s="254" t="s">
        <v>231</v>
      </c>
      <c r="C12" s="236"/>
      <c r="D12" s="237"/>
      <c r="E12" s="255">
        <f>SUM(E13:F13)</f>
        <v>59137855.829999998</v>
      </c>
      <c r="F12" s="256"/>
    </row>
    <row r="13" spans="1:6" ht="28.5" customHeight="1" x14ac:dyDescent="0.25">
      <c r="A13" s="77" t="s">
        <v>221</v>
      </c>
      <c r="B13" s="235" t="s">
        <v>229</v>
      </c>
      <c r="C13" s="236"/>
      <c r="D13" s="237"/>
      <c r="E13" s="238">
        <v>59137855.829999998</v>
      </c>
      <c r="F13" s="239"/>
    </row>
    <row r="14" spans="1:6" ht="30" customHeight="1" x14ac:dyDescent="0.25">
      <c r="A14" s="78" t="s">
        <v>230</v>
      </c>
      <c r="B14" s="254" t="s">
        <v>236</v>
      </c>
      <c r="C14" s="236"/>
      <c r="D14" s="237"/>
      <c r="E14" s="263">
        <f>SUM(E15:F15)</f>
        <v>33903458.170000002</v>
      </c>
      <c r="F14" s="264"/>
    </row>
    <row r="15" spans="1:6" ht="30" customHeight="1" x14ac:dyDescent="0.25">
      <c r="A15" s="77" t="s">
        <v>232</v>
      </c>
      <c r="B15" s="235" t="s">
        <v>229</v>
      </c>
      <c r="C15" s="236"/>
      <c r="D15" s="237"/>
      <c r="E15" s="268">
        <v>33903458.170000002</v>
      </c>
      <c r="F15" s="269"/>
    </row>
    <row r="16" spans="1:6" ht="21" customHeight="1" x14ac:dyDescent="0.25">
      <c r="A16" s="78" t="s">
        <v>158</v>
      </c>
      <c r="B16" s="270" t="s">
        <v>237</v>
      </c>
      <c r="C16" s="270"/>
      <c r="D16" s="270"/>
      <c r="E16" s="271">
        <f>E17+E18</f>
        <v>8674312.5799999982</v>
      </c>
      <c r="F16" s="272"/>
    </row>
    <row r="17" spans="1:7" ht="21" customHeight="1" x14ac:dyDescent="0.25">
      <c r="A17" s="77" t="s">
        <v>159</v>
      </c>
      <c r="B17" s="265" t="s">
        <v>238</v>
      </c>
      <c r="C17" s="266"/>
      <c r="D17" s="267"/>
      <c r="E17" s="268">
        <v>7567124.6199999992</v>
      </c>
      <c r="F17" s="269"/>
    </row>
    <row r="18" spans="1:7" ht="21" customHeight="1" x14ac:dyDescent="0.25">
      <c r="A18" s="77" t="s">
        <v>160</v>
      </c>
      <c r="B18" s="265" t="s">
        <v>239</v>
      </c>
      <c r="C18" s="266"/>
      <c r="D18" s="267"/>
      <c r="E18" s="268">
        <v>1107187.96</v>
      </c>
      <c r="F18" s="269"/>
    </row>
    <row r="19" spans="1:7" ht="19.5" customHeight="1" x14ac:dyDescent="0.25">
      <c r="A19" s="254" t="s">
        <v>233</v>
      </c>
      <c r="B19" s="259"/>
      <c r="C19" s="259"/>
      <c r="D19" s="260"/>
      <c r="E19" s="261">
        <f>E12+E14+E16</f>
        <v>101715626.58</v>
      </c>
      <c r="F19" s="262"/>
      <c r="G19" s="81">
        <f>E19-2732786.78</f>
        <v>98982839.799999997</v>
      </c>
    </row>
    <row r="20" spans="1:7" ht="19.5" customHeight="1" x14ac:dyDescent="0.25">
      <c r="A20" s="235" t="s">
        <v>227</v>
      </c>
      <c r="B20" s="236"/>
      <c r="C20" s="236"/>
      <c r="D20" s="237"/>
      <c r="E20" s="257">
        <f>E19/1.2*0.2</f>
        <v>16952604.430000003</v>
      </c>
      <c r="F20" s="258"/>
    </row>
    <row r="21" spans="1:7" ht="26.25" customHeight="1" x14ac:dyDescent="0.25">
      <c r="A21" s="66"/>
      <c r="B21" s="66"/>
      <c r="C21" s="243" t="s">
        <v>28</v>
      </c>
      <c r="D21" s="244"/>
      <c r="E21" s="248"/>
      <c r="F21" s="248"/>
    </row>
    <row r="22" spans="1:7" ht="15" customHeight="1" x14ac:dyDescent="0.25">
      <c r="A22" s="241" t="s">
        <v>234</v>
      </c>
      <c r="B22" s="241"/>
      <c r="C22" s="241"/>
      <c r="D22" s="241"/>
      <c r="E22" s="242"/>
      <c r="F22" s="242"/>
    </row>
    <row r="23" spans="1:7" ht="0.75" customHeight="1" x14ac:dyDescent="0.25">
      <c r="A23" s="241"/>
      <c r="B23" s="241"/>
      <c r="C23" s="241"/>
      <c r="D23" s="241"/>
      <c r="E23" s="247"/>
      <c r="F23" s="247"/>
    </row>
    <row r="24" spans="1:7" ht="31.5" customHeight="1" x14ac:dyDescent="0.25">
      <c r="A24" s="245" t="s">
        <v>225</v>
      </c>
      <c r="B24" s="246"/>
      <c r="C24" s="246"/>
      <c r="D24" s="246"/>
    </row>
    <row r="25" spans="1:7" ht="26.25" customHeight="1" x14ac:dyDescent="0.25">
      <c r="B25" s="76" t="s">
        <v>222</v>
      </c>
      <c r="C25" s="76" t="s">
        <v>33</v>
      </c>
    </row>
    <row r="26" spans="1:7" ht="11.25" customHeight="1" x14ac:dyDescent="0.25">
      <c r="B26" s="75" t="s">
        <v>34</v>
      </c>
      <c r="C26" s="75" t="s">
        <v>223</v>
      </c>
    </row>
    <row r="27" spans="1:7" ht="11.25" customHeight="1" x14ac:dyDescent="0.25">
      <c r="B27" s="75" t="s">
        <v>35</v>
      </c>
      <c r="C27" s="75" t="s">
        <v>224</v>
      </c>
    </row>
    <row r="28" spans="1:7" ht="11.25" customHeight="1" x14ac:dyDescent="0.25">
      <c r="B28" s="79"/>
      <c r="C28" s="79"/>
    </row>
    <row r="29" spans="1:7" ht="27.75" customHeight="1" x14ac:dyDescent="0.25">
      <c r="B29" s="79"/>
      <c r="C29" s="79"/>
    </row>
    <row r="30" spans="1:7" ht="195" customHeight="1" x14ac:dyDescent="0.25">
      <c r="A30" s="279" t="s">
        <v>242</v>
      </c>
      <c r="B30" s="279"/>
      <c r="C30" s="279"/>
      <c r="D30" s="280" t="s">
        <v>241</v>
      </c>
      <c r="E30" s="280"/>
      <c r="F30" s="280"/>
    </row>
    <row r="31" spans="1:7" x14ac:dyDescent="0.25">
      <c r="A31" s="250"/>
      <c r="B31" s="250"/>
      <c r="C31" s="250"/>
      <c r="D31" s="240"/>
      <c r="E31" s="240"/>
      <c r="F31" s="240"/>
    </row>
    <row r="32" spans="1:7" x14ac:dyDescent="0.25">
      <c r="A32" s="67"/>
    </row>
    <row r="33" spans="1:6" x14ac:dyDescent="0.25">
      <c r="A33" s="67"/>
      <c r="E33" s="73"/>
    </row>
    <row r="34" spans="1:6" x14ac:dyDescent="0.25">
      <c r="A34" s="67"/>
      <c r="E34" s="73"/>
    </row>
    <row r="35" spans="1:6" x14ac:dyDescent="0.25">
      <c r="A35" s="67"/>
      <c r="E35" s="73"/>
    </row>
    <row r="36" spans="1:6" ht="11.25" customHeight="1" x14ac:dyDescent="0.25"/>
    <row r="37" spans="1:6" ht="18" hidden="1" customHeight="1" x14ac:dyDescent="0.25">
      <c r="A37" s="251"/>
      <c r="B37" s="251"/>
      <c r="C37" s="251"/>
      <c r="D37" s="251"/>
      <c r="E37" s="251"/>
      <c r="F37" s="251"/>
    </row>
    <row r="38" spans="1:6" hidden="1" x14ac:dyDescent="0.25">
      <c r="A38" s="68"/>
      <c r="B38" s="68"/>
      <c r="C38" s="68"/>
      <c r="D38" s="252"/>
      <c r="E38" s="252"/>
      <c r="F38" s="68"/>
    </row>
    <row r="39" spans="1:6" hidden="1" x14ac:dyDescent="0.25">
      <c r="B39" s="69"/>
    </row>
    <row r="40" spans="1:6" hidden="1" x14ac:dyDescent="0.25">
      <c r="B40" s="69"/>
      <c r="D40" s="253"/>
      <c r="E40" s="253"/>
      <c r="F40" s="253"/>
    </row>
    <row r="41" spans="1:6" hidden="1" x14ac:dyDescent="0.25">
      <c r="B41" s="69"/>
    </row>
    <row r="42" spans="1:6" hidden="1" x14ac:dyDescent="0.25">
      <c r="B42" s="69"/>
    </row>
    <row r="43" spans="1:6" ht="15" hidden="1" customHeight="1" x14ac:dyDescent="0.25">
      <c r="B43" s="69"/>
      <c r="D43" s="74"/>
      <c r="E43" s="240"/>
      <c r="F43" s="240"/>
    </row>
    <row r="44" spans="1:6" ht="24.75" hidden="1" customHeight="1" x14ac:dyDescent="0.25">
      <c r="A44" s="68"/>
      <c r="B44" s="70"/>
      <c r="C44" s="71"/>
      <c r="D44" s="72"/>
      <c r="E44" s="240"/>
      <c r="F44" s="240"/>
    </row>
    <row r="47" spans="1:6" x14ac:dyDescent="0.25">
      <c r="D47" s="74"/>
      <c r="E47" s="249"/>
      <c r="F47" s="249"/>
    </row>
    <row r="84" ht="15" customHeight="1" x14ac:dyDescent="0.25"/>
  </sheetData>
  <mergeCells count="42">
    <mergeCell ref="A30:C30"/>
    <mergeCell ref="D30:F30"/>
    <mergeCell ref="A9:F9"/>
    <mergeCell ref="B11:D11"/>
    <mergeCell ref="E11:F11"/>
    <mergeCell ref="A5:F5"/>
    <mergeCell ref="A6:F6"/>
    <mergeCell ref="A7:F7"/>
    <mergeCell ref="A8:F8"/>
    <mergeCell ref="B12:D12"/>
    <mergeCell ref="E12:F12"/>
    <mergeCell ref="E20:F20"/>
    <mergeCell ref="A19:D19"/>
    <mergeCell ref="E19:F19"/>
    <mergeCell ref="B14:D14"/>
    <mergeCell ref="E14:F14"/>
    <mergeCell ref="B17:D17"/>
    <mergeCell ref="B18:D18"/>
    <mergeCell ref="E17:F17"/>
    <mergeCell ref="E18:F18"/>
    <mergeCell ref="A20:D20"/>
    <mergeCell ref="B16:D16"/>
    <mergeCell ref="E16:F16"/>
    <mergeCell ref="B13:D13"/>
    <mergeCell ref="E15:F15"/>
    <mergeCell ref="E47:F47"/>
    <mergeCell ref="A31:C31"/>
    <mergeCell ref="D31:F31"/>
    <mergeCell ref="A37:F37"/>
    <mergeCell ref="D38:E38"/>
    <mergeCell ref="D40:F40"/>
    <mergeCell ref="E43:F43"/>
    <mergeCell ref="E44:F44"/>
    <mergeCell ref="B15:D15"/>
    <mergeCell ref="E13:F13"/>
    <mergeCell ref="A22:D22"/>
    <mergeCell ref="E22:F22"/>
    <mergeCell ref="C21:D21"/>
    <mergeCell ref="A24:D24"/>
    <mergeCell ref="A23:D23"/>
    <mergeCell ref="E23:F23"/>
    <mergeCell ref="E21:F21"/>
  </mergeCells>
  <printOptions horizontalCentered="1"/>
  <pageMargins left="0.51181102362204722" right="0.51181102362204722" top="0.35433070866141736" bottom="0.35433070866141736" header="0" footer="0"/>
  <pageSetup paperSize="9" scale="95" fitToHeight="1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Лист1</vt:lpstr>
      <vt:lpstr>Корректировка (20.07.15) (наш)</vt:lpstr>
      <vt:lpstr>Корректировка (21.07.15) (наш)</vt:lpstr>
      <vt:lpstr>Корректировка (21.07.15) (с эл.</vt:lpstr>
      <vt:lpstr>Корректировка (28.07.15)</vt:lpstr>
      <vt:lpstr>РНЦ</vt:lpstr>
      <vt:lpstr>'Корректировка (20.07.15) (наш)'!Область_печати</vt:lpstr>
      <vt:lpstr>'Корректировка (21.07.15) (наш)'!Область_печати</vt:lpstr>
      <vt:lpstr>'Корректировка (21.07.15) (с эл.'!Область_печати</vt:lpstr>
      <vt:lpstr>'Корректировка (28.07.15)'!Область_печати</vt:lpstr>
      <vt:lpstr>РНЦ!Область_печати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1211</dc:creator>
  <cp:lastModifiedBy>Serebrennikova Alena</cp:lastModifiedBy>
  <cp:lastPrinted>2020-07-20T08:29:54Z</cp:lastPrinted>
  <dcterms:created xsi:type="dcterms:W3CDTF">2014-09-18T00:58:13Z</dcterms:created>
  <dcterms:modified xsi:type="dcterms:W3CDTF">2020-09-07T06:28:37Z</dcterms:modified>
</cp:coreProperties>
</file>